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8" windowWidth="11832" windowHeight="7260" activeTab="0"/>
  </bookViews>
  <sheets>
    <sheet name="Definition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-1" sheetId="7" r:id="rId7"/>
    <sheet name="Table 6-2" sheetId="8" r:id="rId8"/>
    <sheet name="Table 7" sheetId="9" r:id="rId9"/>
    <sheet name="Table 8" sheetId="10" r:id="rId10"/>
    <sheet name="Table 9" sheetId="11" r:id="rId11"/>
    <sheet name="Table 10" sheetId="12" r:id="rId12"/>
    <sheet name="Table 11" sheetId="13" r:id="rId13"/>
  </sheets>
  <definedNames/>
  <calcPr fullCalcOnLoad="1"/>
</workbook>
</file>

<file path=xl/sharedStrings.xml><?xml version="1.0" encoding="utf-8"?>
<sst xmlns="http://schemas.openxmlformats.org/spreadsheetml/2006/main" count="289" uniqueCount="105">
  <si>
    <t>20-24</t>
  </si>
  <si>
    <t>25-29</t>
  </si>
  <si>
    <t>30-34</t>
  </si>
  <si>
    <t>35-39</t>
  </si>
  <si>
    <t>40-44</t>
  </si>
  <si>
    <t>45-49</t>
  </si>
  <si>
    <t>50-54</t>
  </si>
  <si>
    <t>-</t>
  </si>
  <si>
    <t>-</t>
  </si>
  <si>
    <t>Source: 2010 Population Census, Statistics Bureau of Japan</t>
  </si>
  <si>
    <t>Rate (%)</t>
  </si>
  <si>
    <t>Number (persons)</t>
  </si>
  <si>
    <t xml:space="preserve">Type of Household (2 groups) </t>
  </si>
  <si>
    <t>Table 1. Number of Single Mothers by Type of Household (2 groups) - Japan (2010)</t>
  </si>
  <si>
    <t>Table 2. Number of Single Mothers by Marital Status (3 groups) - Japan (2010)</t>
  </si>
  <si>
    <t xml:space="preserve">  Never married</t>
  </si>
  <si>
    <t xml:space="preserve">  Widowed</t>
  </si>
  <si>
    <t xml:space="preserve">  Divorced</t>
  </si>
  <si>
    <t xml:space="preserve">Marital Status (3 groups) </t>
  </si>
  <si>
    <t>Total</t>
  </si>
  <si>
    <t>Total</t>
  </si>
  <si>
    <t>　15 ～ 19</t>
  </si>
  <si>
    <t>　20 ～ 24</t>
  </si>
  <si>
    <t>　25 ～ 29</t>
  </si>
  <si>
    <t>　30 ～ 34</t>
  </si>
  <si>
    <t>　35 ～ 39</t>
  </si>
  <si>
    <t>　40 ～ 44</t>
  </si>
  <si>
    <t>　45 ～ 49</t>
  </si>
  <si>
    <t>Total</t>
  </si>
  <si>
    <t>　50 ～ 54</t>
  </si>
  <si>
    <t>Source:  Population Census, Statistics Bureau of Japan</t>
  </si>
  <si>
    <t xml:space="preserve"> Age (9 groups) </t>
  </si>
  <si>
    <t>(persons)</t>
  </si>
  <si>
    <t>(%)</t>
  </si>
  <si>
    <t>Total</t>
  </si>
  <si>
    <t>Never married</t>
  </si>
  <si>
    <t>Divorced</t>
  </si>
  <si>
    <t>Widowed</t>
  </si>
  <si>
    <t>and Age (9 groups) - Japan (2010)</t>
  </si>
  <si>
    <t xml:space="preserve">Table 4-1. Number of Single Mothers by Marital Status (3 groups) </t>
  </si>
  <si>
    <t xml:space="preserve">Table 5-1. Number of Single Mothers by Type of Household (2 groups) </t>
  </si>
  <si>
    <t xml:space="preserve">Table 5-2. Rate of Single Mothers by Type of Household (2 groups) </t>
  </si>
  <si>
    <t>and Marital Status (3 groups) - Japan (2010)</t>
  </si>
  <si>
    <t>(%)</t>
  </si>
  <si>
    <t>(persons)</t>
  </si>
  <si>
    <t xml:space="preserve">Marital Status    (3 groups) </t>
  </si>
  <si>
    <t>and Mother's Age (9 groups) - Japan (2010)</t>
  </si>
  <si>
    <t xml:space="preserve"> Mother's Age (9 groups) </t>
  </si>
  <si>
    <t xml:space="preserve">Table 6-1. Number of Mother-child(ren) Households by Marital Status (3 groups) </t>
  </si>
  <si>
    <t xml:space="preserve">  55 years old and over</t>
  </si>
  <si>
    <t xml:space="preserve">Table 6-2. Rate of Mother-child(ren) Households to Single Mother's Households </t>
  </si>
  <si>
    <t>Increase</t>
  </si>
  <si>
    <t>Rate (%)</t>
  </si>
  <si>
    <t>Total</t>
  </si>
  <si>
    <t>2000 - 2005</t>
  </si>
  <si>
    <t>2005 - 2010</t>
  </si>
  <si>
    <t>Number (persons)</t>
  </si>
  <si>
    <t xml:space="preserve">Table 8. Changes in Number of Single Mothers - Japan (2000, 2005, 2010)
</t>
  </si>
  <si>
    <t xml:space="preserve">              - Japan (2000, 2005, 2010)</t>
  </si>
  <si>
    <t>Number</t>
  </si>
  <si>
    <t>Increased Rate</t>
  </si>
  <si>
    <t>Increased Number</t>
  </si>
  <si>
    <t xml:space="preserve">Table 10. Changes in Number of Never Married Single Mothers - Japan (2000, 2005, 2010)
</t>
  </si>
  <si>
    <t>Year</t>
  </si>
  <si>
    <t>15-19 years old</t>
  </si>
  <si>
    <t>55 years old and over</t>
  </si>
  <si>
    <t>(thousand persons)</t>
  </si>
  <si>
    <t>Table 7-1. Female Population 15 years old and over</t>
  </si>
  <si>
    <t>Total</t>
  </si>
  <si>
    <t>Labor Force Population</t>
  </si>
  <si>
    <t>Not in Labor Force</t>
  </si>
  <si>
    <t xml:space="preserve">  Persons Engaged</t>
  </si>
  <si>
    <t xml:space="preserve">      Regular Employees</t>
  </si>
  <si>
    <t xml:space="preserve">      Temporary Employees</t>
  </si>
  <si>
    <t xml:space="preserve">      Part-time Emplotees and others</t>
  </si>
  <si>
    <t>Labor Force Status &amp; Employment Status (6 groups)</t>
  </si>
  <si>
    <t>　　　　　　by Labor Force Status &amp; Employment Status (6 groups)</t>
  </si>
  <si>
    <t xml:space="preserve">Table 7-2 Numeber of Single Mothers </t>
  </si>
  <si>
    <t xml:space="preserve">                    - Japan (2010)</t>
  </si>
  <si>
    <t xml:space="preserve">  Unemployed Persons</t>
  </si>
  <si>
    <t xml:space="preserve">  (Unemployment Rate)</t>
  </si>
  <si>
    <t xml:space="preserve">    Employed Persons and Directors</t>
  </si>
  <si>
    <t>Definition of Single Mother</t>
  </si>
  <si>
    <t>But the single mothers who are not living with their child / children are not included here.</t>
  </si>
  <si>
    <t>only a never married, widowed or divorced mother and never married child(ren) under 20 years of age.</t>
  </si>
  <si>
    <t>Definition of Mother-child(ren) households</t>
  </si>
  <si>
    <t>by Marital Status (3 groups)  - Japan (2010)</t>
  </si>
  <si>
    <t xml:space="preserve">Table 4-2. Age Composition (9 groups) of Single Mothers </t>
  </si>
  <si>
    <t xml:space="preserve"> Mother's Age (9 groups) </t>
  </si>
  <si>
    <t xml:space="preserve">                by Marital Status (3 groups) and Mother's Age (9 groups) - Japan (2010)</t>
  </si>
  <si>
    <t>Table 3. Age Composition (9 groups) of Single Mothers - Japan (2010)</t>
  </si>
  <si>
    <t>Table 9. Changes in Number of Single Mothers by Type of Household (2 groups)</t>
  </si>
  <si>
    <t xml:space="preserve">Table 11-1. Changes in Age Composition (9 groups) of Single Mothers - Japan (2000, 2005, 2010）
</t>
  </si>
  <si>
    <t xml:space="preserve">Table 11-2. Changes in Age Composition (9 groups) of Never Married Single Mothers - Japan (2000, 2005, 2010）
</t>
  </si>
  <si>
    <t>Note: In the avove table, Table 6-1 is used for the numerators and Table 4-1is used for the denominators.</t>
  </si>
  <si>
    <t>This household consists of "Mother-child(ren) household" and other household members.</t>
  </si>
  <si>
    <t>The other household members are the mother's parents or siblings in many cases.</t>
  </si>
  <si>
    <t xml:space="preserve">Mother-child(ren) households refer to the private households consisting of </t>
  </si>
  <si>
    <t xml:space="preserve">Single Mothers mean the mothers of "Mother-child(ren) households" and  </t>
  </si>
  <si>
    <t>Definition of Mother-child(ren) households (including households with other household members)</t>
  </si>
  <si>
    <t>"Mother-child(ren) households (including households with other household members)" here.</t>
  </si>
  <si>
    <t>Mother-child(ren) households</t>
  </si>
  <si>
    <t xml:space="preserve">Mother-child(ren) households with other household members </t>
  </si>
  <si>
    <t>Mother-child(ren) households with other household members</t>
  </si>
  <si>
    <t>Mother-child(ren) households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</si>
</sst>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_ "/>
    <numFmt numFmtId="178" formatCode="#,##0.0;&quot;△ &quot;#,##0.0"/>
    <numFmt numFmtId="179" formatCode="#,##0_ ;[Red]\-#,##0\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#,###,##0;&quot;-&quot;#,###,##0"/>
    <numFmt numFmtId="185" formatCode="#,##0.00_ ;[Red]\-#,##0.00\ "/>
    <numFmt numFmtId="186" formatCode="#,##0_ "/>
    <numFmt numFmtId="187" formatCode="#,##0.00_ "/>
    <numFmt numFmtId="188" formatCode="#,##0.00;&quot;△ &quot;#,##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Arial Unicode MS"/>
      <family val="3"/>
    </font>
    <font>
      <sz val="10"/>
      <color indexed="8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Arial"/>
      <family val="2"/>
    </font>
    <font>
      <sz val="12"/>
      <color indexed="8"/>
      <name val="Arial Unicode MS"/>
      <family val="3"/>
    </font>
    <font>
      <u val="single"/>
      <sz val="12"/>
      <color indexed="8"/>
      <name val="Arial Unicode MS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1"/>
      <color theme="1"/>
      <name val="Arial"/>
      <family val="2"/>
    </font>
    <font>
      <sz val="11"/>
      <color theme="1"/>
      <name val="Arial Unicode MS"/>
      <family val="3"/>
    </font>
    <font>
      <sz val="12"/>
      <color theme="1"/>
      <name val="Arial Unicode MS"/>
      <family val="3"/>
    </font>
    <font>
      <sz val="10"/>
      <color theme="1"/>
      <name val="Arial Unicode MS"/>
      <family val="3"/>
    </font>
    <font>
      <u val="single"/>
      <sz val="12"/>
      <color theme="1"/>
      <name val="Arial Unicode MS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176" fontId="47" fillId="0" borderId="10" xfId="0" applyNumberFormat="1" applyFont="1" applyBorder="1" applyAlignment="1">
      <alignment vertical="center"/>
    </xf>
    <xf numFmtId="176" fontId="47" fillId="0" borderId="11" xfId="0" applyNumberFormat="1" applyFont="1" applyBorder="1" applyAlignment="1">
      <alignment vertical="center"/>
    </xf>
    <xf numFmtId="176" fontId="47" fillId="0" borderId="12" xfId="0" applyNumberFormat="1" applyFont="1" applyBorder="1" applyAlignment="1">
      <alignment vertical="center"/>
    </xf>
    <xf numFmtId="176" fontId="47" fillId="0" borderId="0" xfId="0" applyNumberFormat="1" applyFont="1" applyBorder="1" applyAlignment="1">
      <alignment vertical="center"/>
    </xf>
    <xf numFmtId="176" fontId="47" fillId="0" borderId="13" xfId="0" applyNumberFormat="1" applyFont="1" applyBorder="1" applyAlignment="1">
      <alignment vertical="center"/>
    </xf>
    <xf numFmtId="176" fontId="47" fillId="0" borderId="14" xfId="0" applyNumberFormat="1" applyFont="1" applyBorder="1" applyAlignment="1">
      <alignment vertical="center"/>
    </xf>
    <xf numFmtId="176" fontId="47" fillId="0" borderId="15" xfId="0" applyNumberFormat="1" applyFont="1" applyBorder="1" applyAlignment="1">
      <alignment vertical="center"/>
    </xf>
    <xf numFmtId="176" fontId="47" fillId="0" borderId="16" xfId="0" applyNumberFormat="1" applyFont="1" applyBorder="1" applyAlignment="1">
      <alignment vertical="center"/>
    </xf>
    <xf numFmtId="176" fontId="47" fillId="0" borderId="17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5" xfId="0" applyFont="1" applyBorder="1" applyAlignment="1">
      <alignment vertical="center"/>
    </xf>
    <xf numFmtId="179" fontId="48" fillId="0" borderId="15" xfId="0" applyNumberFormat="1" applyFont="1" applyBorder="1" applyAlignment="1">
      <alignment vertical="center"/>
    </xf>
    <xf numFmtId="176" fontId="48" fillId="0" borderId="10" xfId="0" applyNumberFormat="1" applyFont="1" applyBorder="1" applyAlignment="1">
      <alignment vertical="center"/>
    </xf>
    <xf numFmtId="179" fontId="48" fillId="0" borderId="0" xfId="0" applyNumberFormat="1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179" fontId="48" fillId="0" borderId="16" xfId="0" applyNumberFormat="1" applyFont="1" applyBorder="1" applyAlignment="1">
      <alignment vertical="center"/>
    </xf>
    <xf numFmtId="176" fontId="48" fillId="0" borderId="11" xfId="0" applyNumberFormat="1" applyFont="1" applyBorder="1" applyAlignment="1">
      <alignment vertical="center"/>
    </xf>
    <xf numFmtId="179" fontId="48" fillId="0" borderId="17" xfId="0" applyNumberFormat="1" applyFont="1" applyBorder="1" applyAlignment="1">
      <alignment vertical="center"/>
    </xf>
    <xf numFmtId="176" fontId="48" fillId="0" borderId="12" xfId="0" applyNumberFormat="1" applyFont="1" applyBorder="1" applyAlignment="1">
      <alignment vertical="center"/>
    </xf>
    <xf numFmtId="0" fontId="50" fillId="0" borderId="0" xfId="0" applyFont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0" fontId="48" fillId="0" borderId="22" xfId="0" applyFont="1" applyBorder="1" applyAlignment="1">
      <alignment horizontal="center" vertical="center"/>
    </xf>
    <xf numFmtId="0" fontId="48" fillId="0" borderId="14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3" xfId="0" applyFont="1" applyBorder="1" applyAlignment="1">
      <alignment horizontal="left" vertical="center" wrapText="1"/>
    </xf>
    <xf numFmtId="0" fontId="48" fillId="0" borderId="17" xfId="0" applyFont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186" fontId="48" fillId="0" borderId="0" xfId="0" applyNumberFormat="1" applyFont="1" applyBorder="1" applyAlignment="1">
      <alignment vertical="center"/>
    </xf>
    <xf numFmtId="0" fontId="48" fillId="0" borderId="23" xfId="0" applyFont="1" applyBorder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5" fillId="0" borderId="0" xfId="62" applyNumberFormat="1" applyFont="1" applyFill="1" applyBorder="1" applyAlignment="1">
      <alignment vertical="center"/>
      <protection/>
    </xf>
    <xf numFmtId="0" fontId="48" fillId="0" borderId="19" xfId="0" applyFont="1" applyBorder="1" applyAlignment="1">
      <alignment/>
    </xf>
    <xf numFmtId="0" fontId="5" fillId="0" borderId="0" xfId="0" applyFont="1" applyFill="1" applyAlignment="1">
      <alignment vertical="center"/>
    </xf>
    <xf numFmtId="49" fontId="49" fillId="0" borderId="0" xfId="0" applyNumberFormat="1" applyFont="1" applyAlignment="1">
      <alignment vertical="center"/>
    </xf>
    <xf numFmtId="49" fontId="48" fillId="0" borderId="0" xfId="0" applyNumberFormat="1" applyFont="1" applyAlignment="1">
      <alignment vertical="center"/>
    </xf>
    <xf numFmtId="0" fontId="48" fillId="0" borderId="0" xfId="0" applyFont="1" applyAlignment="1">
      <alignment horizontal="right" vertical="center"/>
    </xf>
    <xf numFmtId="179" fontId="48" fillId="0" borderId="14" xfId="0" applyNumberFormat="1" applyFont="1" applyBorder="1" applyAlignment="1">
      <alignment vertical="center"/>
    </xf>
    <xf numFmtId="179" fontId="48" fillId="0" borderId="10" xfId="0" applyNumberFormat="1" applyFont="1" applyBorder="1" applyAlignment="1">
      <alignment vertical="center"/>
    </xf>
    <xf numFmtId="176" fontId="48" fillId="0" borderId="15" xfId="0" applyNumberFormat="1" applyFont="1" applyBorder="1" applyAlignment="1">
      <alignment vertical="center"/>
    </xf>
    <xf numFmtId="176" fontId="48" fillId="0" borderId="14" xfId="0" applyNumberFormat="1" applyFont="1" applyBorder="1" applyAlignment="1">
      <alignment vertical="center"/>
    </xf>
    <xf numFmtId="179" fontId="48" fillId="0" borderId="11" xfId="0" applyNumberFormat="1" applyFont="1" applyBorder="1" applyAlignment="1">
      <alignment vertical="center"/>
    </xf>
    <xf numFmtId="176" fontId="48" fillId="0" borderId="16" xfId="0" applyNumberFormat="1" applyFont="1" applyBorder="1" applyAlignment="1">
      <alignment vertical="center"/>
    </xf>
    <xf numFmtId="176" fontId="48" fillId="0" borderId="0" xfId="0" applyNumberFormat="1" applyFont="1" applyBorder="1" applyAlignment="1">
      <alignment vertical="center"/>
    </xf>
    <xf numFmtId="179" fontId="48" fillId="0" borderId="13" xfId="0" applyNumberFormat="1" applyFont="1" applyBorder="1" applyAlignment="1">
      <alignment vertical="center"/>
    </xf>
    <xf numFmtId="179" fontId="48" fillId="0" borderId="12" xfId="0" applyNumberFormat="1" applyFont="1" applyBorder="1" applyAlignment="1">
      <alignment vertical="center"/>
    </xf>
    <xf numFmtId="176" fontId="48" fillId="0" borderId="17" xfId="0" applyNumberFormat="1" applyFont="1" applyBorder="1" applyAlignment="1">
      <alignment vertical="center"/>
    </xf>
    <xf numFmtId="176" fontId="48" fillId="0" borderId="13" xfId="0" applyNumberFormat="1" applyFont="1" applyBorder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49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179" fontId="48" fillId="0" borderId="0" xfId="0" applyNumberFormat="1" applyFont="1" applyBorder="1" applyAlignment="1">
      <alignment vertical="center"/>
    </xf>
    <xf numFmtId="179" fontId="48" fillId="0" borderId="11" xfId="0" applyNumberFormat="1" applyFont="1" applyBorder="1" applyAlignment="1">
      <alignment vertical="center"/>
    </xf>
    <xf numFmtId="179" fontId="48" fillId="0" borderId="13" xfId="0" applyNumberFormat="1" applyFont="1" applyBorder="1" applyAlignment="1">
      <alignment vertical="center"/>
    </xf>
    <xf numFmtId="179" fontId="48" fillId="0" borderId="12" xfId="0" applyNumberFormat="1" applyFont="1" applyBorder="1" applyAlignment="1">
      <alignment vertical="center"/>
    </xf>
    <xf numFmtId="0" fontId="48" fillId="0" borderId="0" xfId="0" applyFont="1" applyAlignment="1">
      <alignment horizontal="right"/>
    </xf>
    <xf numFmtId="0" fontId="4" fillId="0" borderId="20" xfId="62" applyNumberFormat="1" applyFont="1" applyFill="1" applyBorder="1" applyAlignment="1">
      <alignment horizontal="left" vertical="center"/>
      <protection/>
    </xf>
    <xf numFmtId="0" fontId="4" fillId="0" borderId="21" xfId="62" applyNumberFormat="1" applyFont="1" applyFill="1" applyBorder="1" applyAlignment="1">
      <alignment horizontal="left" vertical="center"/>
      <protection/>
    </xf>
    <xf numFmtId="0" fontId="50" fillId="0" borderId="0" xfId="0" applyFont="1" applyFill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48" fillId="0" borderId="24" xfId="0" applyFont="1" applyBorder="1" applyAlignment="1">
      <alignment horizontal="center" vertical="center"/>
    </xf>
    <xf numFmtId="0" fontId="48" fillId="0" borderId="18" xfId="0" applyFont="1" applyBorder="1" applyAlignment="1">
      <alignment horizontal="left"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left" vertical="center"/>
    </xf>
    <xf numFmtId="176" fontId="48" fillId="0" borderId="14" xfId="0" applyNumberFormat="1" applyFont="1" applyBorder="1" applyAlignment="1">
      <alignment horizontal="right" vertical="center"/>
    </xf>
    <xf numFmtId="176" fontId="48" fillId="0" borderId="13" xfId="0" applyNumberFormat="1" applyFont="1" applyBorder="1" applyAlignment="1">
      <alignment horizontal="right" vertical="center"/>
    </xf>
    <xf numFmtId="179" fontId="48" fillId="0" borderId="22" xfId="0" applyNumberFormat="1" applyFont="1" applyBorder="1" applyAlignment="1">
      <alignment vertical="center"/>
    </xf>
    <xf numFmtId="179" fontId="48" fillId="0" borderId="24" xfId="0" applyNumberFormat="1" applyFont="1" applyBorder="1" applyAlignment="1">
      <alignment vertical="center"/>
    </xf>
    <xf numFmtId="0" fontId="48" fillId="0" borderId="22" xfId="0" applyFont="1" applyBorder="1" applyAlignment="1">
      <alignment horizontal="left" vertical="center"/>
    </xf>
    <xf numFmtId="0" fontId="48" fillId="0" borderId="23" xfId="0" applyFont="1" applyBorder="1" applyAlignment="1">
      <alignment vertical="center"/>
    </xf>
    <xf numFmtId="176" fontId="48" fillId="0" borderId="0" xfId="0" applyNumberFormat="1" applyFont="1" applyBorder="1" applyAlignment="1">
      <alignment vertical="center"/>
    </xf>
    <xf numFmtId="176" fontId="48" fillId="0" borderId="11" xfId="0" applyNumberFormat="1" applyFont="1" applyBorder="1" applyAlignment="1">
      <alignment vertical="center"/>
    </xf>
    <xf numFmtId="176" fontId="48" fillId="0" borderId="12" xfId="0" applyNumberFormat="1" applyFont="1" applyBorder="1" applyAlignment="1">
      <alignment vertical="center"/>
    </xf>
    <xf numFmtId="176" fontId="48" fillId="0" borderId="15" xfId="0" applyNumberFormat="1" applyFont="1" applyBorder="1" applyAlignment="1">
      <alignment horizontal="right" vertical="center"/>
    </xf>
    <xf numFmtId="176" fontId="48" fillId="0" borderId="16" xfId="0" applyNumberFormat="1" applyFont="1" applyBorder="1" applyAlignment="1">
      <alignment horizontal="right" vertical="center"/>
    </xf>
    <xf numFmtId="176" fontId="48" fillId="0" borderId="17" xfId="0" applyNumberFormat="1" applyFont="1" applyBorder="1" applyAlignment="1">
      <alignment horizontal="right" vertical="center"/>
    </xf>
    <xf numFmtId="179" fontId="48" fillId="0" borderId="16" xfId="0" applyNumberFormat="1" applyFont="1" applyBorder="1" applyAlignment="1">
      <alignment vertical="center"/>
    </xf>
    <xf numFmtId="179" fontId="48" fillId="0" borderId="17" xfId="0" applyNumberFormat="1" applyFont="1" applyBorder="1" applyAlignment="1">
      <alignment vertical="center"/>
    </xf>
    <xf numFmtId="0" fontId="48" fillId="0" borderId="24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/>
    </xf>
    <xf numFmtId="185" fontId="48" fillId="0" borderId="0" xfId="0" applyNumberFormat="1" applyFont="1" applyAlignment="1">
      <alignment vertical="center"/>
    </xf>
    <xf numFmtId="0" fontId="48" fillId="0" borderId="21" xfId="0" applyFont="1" applyBorder="1" applyAlignment="1">
      <alignment horizontal="center" vertical="center"/>
    </xf>
    <xf numFmtId="179" fontId="48" fillId="0" borderId="15" xfId="0" applyNumberFormat="1" applyFont="1" applyBorder="1" applyAlignment="1">
      <alignment vertical="center"/>
    </xf>
    <xf numFmtId="179" fontId="48" fillId="0" borderId="14" xfId="0" applyNumberFormat="1" applyFont="1" applyBorder="1" applyAlignment="1">
      <alignment vertical="center"/>
    </xf>
    <xf numFmtId="179" fontId="48" fillId="0" borderId="10" xfId="0" applyNumberFormat="1" applyFont="1" applyBorder="1" applyAlignment="1">
      <alignment vertical="center"/>
    </xf>
    <xf numFmtId="179" fontId="48" fillId="0" borderId="0" xfId="0" applyNumberFormat="1" applyFont="1" applyAlignment="1">
      <alignment vertical="center"/>
    </xf>
    <xf numFmtId="0" fontId="48" fillId="0" borderId="20" xfId="0" applyFont="1" applyBorder="1" applyAlignment="1">
      <alignment vertical="center"/>
    </xf>
    <xf numFmtId="179" fontId="48" fillId="0" borderId="0" xfId="0" applyNumberFormat="1" applyFont="1" applyBorder="1" applyAlignment="1">
      <alignment horizontal="right" vertical="center"/>
    </xf>
    <xf numFmtId="0" fontId="51" fillId="0" borderId="0" xfId="0" applyFon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6384" width="8.8515625" style="12" customWidth="1"/>
  </cols>
  <sheetData>
    <row r="1" ht="18" customHeight="1"/>
    <row r="2" ht="18" customHeight="1">
      <c r="B2" s="99" t="s">
        <v>85</v>
      </c>
    </row>
    <row r="3" ht="18" customHeight="1"/>
    <row r="4" ht="18" customHeight="1">
      <c r="B4" s="12" t="s">
        <v>97</v>
      </c>
    </row>
    <row r="5" ht="18" customHeight="1">
      <c r="B5" s="12" t="s">
        <v>84</v>
      </c>
    </row>
    <row r="6" ht="18" customHeight="1"/>
    <row r="7" ht="18" customHeight="1"/>
    <row r="8" ht="18" customHeight="1">
      <c r="B8" s="99" t="s">
        <v>99</v>
      </c>
    </row>
    <row r="9" ht="18" customHeight="1"/>
    <row r="10" ht="18" customHeight="1">
      <c r="B10" s="12" t="s">
        <v>95</v>
      </c>
    </row>
    <row r="11" ht="18" customHeight="1">
      <c r="B11" s="12" t="s">
        <v>96</v>
      </c>
    </row>
    <row r="12" ht="18" customHeight="1"/>
    <row r="13" ht="18" customHeight="1"/>
    <row r="14" ht="18" customHeight="1">
      <c r="B14" s="99" t="s">
        <v>82</v>
      </c>
    </row>
    <row r="15" ht="18" customHeight="1"/>
    <row r="16" ht="18" customHeight="1">
      <c r="B16" s="12" t="s">
        <v>98</v>
      </c>
    </row>
    <row r="17" ht="18" customHeight="1">
      <c r="B17" s="12" t="s">
        <v>100</v>
      </c>
    </row>
    <row r="18" ht="18" customHeight="1">
      <c r="B18" s="12" t="s">
        <v>83</v>
      </c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4.28125" style="12" customWidth="1"/>
    <col min="2" max="2" width="25.421875" style="12" customWidth="1"/>
    <col min="3" max="5" width="16.7109375" style="12" customWidth="1"/>
    <col min="6" max="6" width="3.421875" style="12" customWidth="1"/>
    <col min="7" max="16384" width="9.00390625" style="12" customWidth="1"/>
  </cols>
  <sheetData>
    <row r="1" ht="19.5" customHeight="1"/>
    <row r="2" ht="19.5" customHeight="1">
      <c r="B2" s="70" t="s">
        <v>57</v>
      </c>
    </row>
    <row r="3" ht="9" customHeight="1">
      <c r="B3" s="14"/>
    </row>
    <row r="4" spans="2:5" ht="19.5" customHeight="1">
      <c r="B4" s="15" t="s">
        <v>53</v>
      </c>
      <c r="C4" s="31">
        <v>2000</v>
      </c>
      <c r="D4" s="15">
        <v>2005</v>
      </c>
      <c r="E4" s="71">
        <v>2010</v>
      </c>
    </row>
    <row r="5" spans="2:5" ht="19.5" customHeight="1">
      <c r="B5" s="72" t="s">
        <v>56</v>
      </c>
      <c r="C5" s="77">
        <f>86.840543643318*10000</f>
        <v>868405.43643318</v>
      </c>
      <c r="D5" s="77">
        <f>107.162328453202*10000</f>
        <v>1071623.2845320199</v>
      </c>
      <c r="E5" s="78">
        <f>108.1699*10000</f>
        <v>1081699</v>
      </c>
    </row>
    <row r="6" spans="2:5" ht="19.5" customHeight="1">
      <c r="B6" s="33"/>
      <c r="C6" s="52"/>
      <c r="D6" s="52"/>
      <c r="E6" s="52"/>
    </row>
    <row r="7" spans="2:5" ht="19.5" customHeight="1">
      <c r="B7" s="15" t="s">
        <v>51</v>
      </c>
      <c r="C7" s="59"/>
      <c r="D7" s="73" t="s">
        <v>54</v>
      </c>
      <c r="E7" s="59" t="s">
        <v>55</v>
      </c>
    </row>
    <row r="8" spans="2:5" ht="19.5" customHeight="1">
      <c r="B8" s="74" t="s">
        <v>56</v>
      </c>
      <c r="C8" s="75" t="s">
        <v>8</v>
      </c>
      <c r="D8" s="46">
        <f>D5-C5</f>
        <v>203217.84809883987</v>
      </c>
      <c r="E8" s="47">
        <f>E5-D5</f>
        <v>10075.715467980132</v>
      </c>
    </row>
    <row r="9" spans="2:5" ht="19.5" customHeight="1">
      <c r="B9" s="30" t="s">
        <v>52</v>
      </c>
      <c r="C9" s="76" t="s">
        <v>8</v>
      </c>
      <c r="D9" s="56">
        <f>(D5-C5)/C5*100</f>
        <v>23.401263922704217</v>
      </c>
      <c r="E9" s="26">
        <f>(E5-D5)/D5*100</f>
        <v>0.9402292403883532</v>
      </c>
    </row>
    <row r="10" ht="6.75" customHeight="1"/>
    <row r="11" ht="15" customHeight="1">
      <c r="B11" s="27" t="s">
        <v>30</v>
      </c>
    </row>
    <row r="12" ht="15" customHeight="1">
      <c r="B12" s="27"/>
    </row>
    <row r="13" ht="19.5" customHeight="1"/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23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9.00390625" style="12" customWidth="1"/>
    <col min="2" max="2" width="1.57421875" style="12" customWidth="1"/>
    <col min="3" max="3" width="30.7109375" style="12" customWidth="1"/>
    <col min="4" max="6" width="16.7109375" style="12" customWidth="1"/>
    <col min="7" max="7" width="3.28125" style="12" customWidth="1"/>
    <col min="8" max="16384" width="9.00390625" style="12" customWidth="1"/>
  </cols>
  <sheetData>
    <row r="1" ht="19.5" customHeight="1"/>
    <row r="2" ht="19.5" customHeight="1">
      <c r="C2" s="70" t="s">
        <v>91</v>
      </c>
    </row>
    <row r="3" ht="19.5" customHeight="1">
      <c r="C3" s="43" t="s">
        <v>58</v>
      </c>
    </row>
    <row r="4" ht="19.5" customHeight="1">
      <c r="F4" s="66" t="s">
        <v>32</v>
      </c>
    </row>
    <row r="5" spans="2:6" ht="19.5" customHeight="1">
      <c r="B5" s="80"/>
      <c r="C5" s="79" t="s">
        <v>59</v>
      </c>
      <c r="D5" s="38">
        <v>2000</v>
      </c>
      <c r="E5" s="15">
        <v>2005</v>
      </c>
      <c r="F5" s="71">
        <v>2010</v>
      </c>
    </row>
    <row r="6" spans="2:6" ht="24" customHeight="1">
      <c r="B6" s="22" t="s">
        <v>53</v>
      </c>
      <c r="C6" s="32"/>
      <c r="D6" s="23">
        <f>D7+D8</f>
        <v>868405.43643318</v>
      </c>
      <c r="E6" s="21">
        <f>E7+E8</f>
        <v>1071623.2845320199</v>
      </c>
      <c r="F6" s="47">
        <f>F7+F8</f>
        <v>1081699</v>
      </c>
    </row>
    <row r="7" spans="2:6" ht="33.75" customHeight="1">
      <c r="B7" s="22"/>
      <c r="C7" s="33" t="s">
        <v>101</v>
      </c>
      <c r="D7" s="87">
        <f>62.5904*10000</f>
        <v>625904</v>
      </c>
      <c r="E7" s="62">
        <f>74.9048*10000</f>
        <v>749048</v>
      </c>
      <c r="F7" s="63">
        <f>75.5972*10000</f>
        <v>755972</v>
      </c>
    </row>
    <row r="8" spans="2:6" ht="53.25" customHeight="1">
      <c r="B8" s="35"/>
      <c r="C8" s="34" t="s">
        <v>103</v>
      </c>
      <c r="D8" s="88">
        <f>24.250143643318*10000</f>
        <v>242501.43643318</v>
      </c>
      <c r="E8" s="64">
        <f>32.257528453202*10000</f>
        <v>322575.28453202</v>
      </c>
      <c r="F8" s="65">
        <f>32.5727*10000</f>
        <v>325727</v>
      </c>
    </row>
    <row r="9" spans="3:6" ht="19.5" customHeight="1">
      <c r="C9" s="33"/>
      <c r="D9" s="81"/>
      <c r="E9" s="81"/>
      <c r="F9" s="81"/>
    </row>
    <row r="10" ht="19.5" customHeight="1">
      <c r="F10" s="66" t="s">
        <v>32</v>
      </c>
    </row>
    <row r="11" spans="2:6" ht="19.5" customHeight="1">
      <c r="B11" s="80"/>
      <c r="C11" s="79" t="s">
        <v>61</v>
      </c>
      <c r="D11" s="15">
        <v>2000</v>
      </c>
      <c r="E11" s="15">
        <v>2005</v>
      </c>
      <c r="F11" s="71">
        <v>2010</v>
      </c>
    </row>
    <row r="12" spans="2:6" ht="24" customHeight="1">
      <c r="B12" s="22" t="s">
        <v>53</v>
      </c>
      <c r="C12" s="32"/>
      <c r="D12" s="84" t="s">
        <v>8</v>
      </c>
      <c r="E12" s="21">
        <f aca="true" t="shared" si="0" ref="E12:F14">E6-D6</f>
        <v>203217.84809883987</v>
      </c>
      <c r="F12" s="50">
        <f t="shared" si="0"/>
        <v>10075.715467980132</v>
      </c>
    </row>
    <row r="13" spans="2:6" ht="34.5" customHeight="1">
      <c r="B13" s="22"/>
      <c r="C13" s="33" t="s">
        <v>101</v>
      </c>
      <c r="D13" s="85" t="s">
        <v>8</v>
      </c>
      <c r="E13" s="21">
        <f t="shared" si="0"/>
        <v>123144</v>
      </c>
      <c r="F13" s="50">
        <f t="shared" si="0"/>
        <v>6924</v>
      </c>
    </row>
    <row r="14" spans="2:6" ht="53.25" customHeight="1">
      <c r="B14" s="35"/>
      <c r="C14" s="34" t="s">
        <v>103</v>
      </c>
      <c r="D14" s="86" t="s">
        <v>8</v>
      </c>
      <c r="E14" s="53">
        <f t="shared" si="0"/>
        <v>80073.84809883998</v>
      </c>
      <c r="F14" s="54">
        <f t="shared" si="0"/>
        <v>3151.715467980015</v>
      </c>
    </row>
    <row r="15" spans="3:5" ht="19.5" customHeight="1">
      <c r="C15" s="33"/>
      <c r="D15" s="52"/>
      <c r="E15" s="52"/>
    </row>
    <row r="16" ht="19.5" customHeight="1">
      <c r="F16" s="45" t="s">
        <v>33</v>
      </c>
    </row>
    <row r="17" spans="2:6" ht="19.5" customHeight="1">
      <c r="B17" s="80"/>
      <c r="C17" s="79" t="s">
        <v>60</v>
      </c>
      <c r="D17" s="15">
        <v>2000</v>
      </c>
      <c r="E17" s="15">
        <v>2005</v>
      </c>
      <c r="F17" s="71">
        <v>2010</v>
      </c>
    </row>
    <row r="18" spans="2:6" ht="24" customHeight="1">
      <c r="B18" s="22" t="s">
        <v>53</v>
      </c>
      <c r="C18" s="32"/>
      <c r="D18" s="84" t="s">
        <v>8</v>
      </c>
      <c r="E18" s="49">
        <f aca="true" t="shared" si="1" ref="E18:F20">(E6-D6)/D6*100</f>
        <v>23.401263922704217</v>
      </c>
      <c r="F18" s="20">
        <f t="shared" si="1"/>
        <v>0.9402292403883532</v>
      </c>
    </row>
    <row r="19" spans="2:6" ht="34.5" customHeight="1">
      <c r="B19" s="22"/>
      <c r="C19" s="33" t="s">
        <v>101</v>
      </c>
      <c r="D19" s="85" t="s">
        <v>8</v>
      </c>
      <c r="E19" s="52">
        <f t="shared" si="1"/>
        <v>19.67458268360643</v>
      </c>
      <c r="F19" s="24">
        <f t="shared" si="1"/>
        <v>0.9243733378902287</v>
      </c>
    </row>
    <row r="20" spans="2:6" ht="53.25" customHeight="1">
      <c r="B20" s="35"/>
      <c r="C20" s="34" t="s">
        <v>103</v>
      </c>
      <c r="D20" s="86" t="s">
        <v>8</v>
      </c>
      <c r="E20" s="56">
        <f t="shared" si="1"/>
        <v>33.01994795437177</v>
      </c>
      <c r="F20" s="26">
        <f t="shared" si="1"/>
        <v>0.9770480316098626</v>
      </c>
    </row>
    <row r="21" ht="5.25" customHeight="1"/>
    <row r="22" ht="15" customHeight="1">
      <c r="C22" s="27" t="s">
        <v>30</v>
      </c>
    </row>
    <row r="23" ht="15" customHeight="1">
      <c r="C23" s="27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3.8515625" style="12" customWidth="1"/>
    <col min="2" max="2" width="20.8515625" style="12" customWidth="1"/>
    <col min="3" max="5" width="16.7109375" style="12" customWidth="1"/>
    <col min="6" max="6" width="3.28125" style="12" customWidth="1"/>
    <col min="7" max="16384" width="9.00390625" style="12" customWidth="1"/>
  </cols>
  <sheetData>
    <row r="1" ht="19.5" customHeight="1"/>
    <row r="2" ht="19.5" customHeight="1">
      <c r="B2" s="70" t="s">
        <v>62</v>
      </c>
    </row>
    <row r="3" ht="8.25" customHeight="1">
      <c r="B3" s="14"/>
    </row>
    <row r="4" spans="2:5" ht="19.5" customHeight="1">
      <c r="B4" s="15" t="s">
        <v>53</v>
      </c>
      <c r="C4" s="31">
        <v>2000</v>
      </c>
      <c r="D4" s="15">
        <v>2005</v>
      </c>
      <c r="E4" s="71">
        <v>2010</v>
      </c>
    </row>
    <row r="5" spans="2:5" ht="19.5" customHeight="1">
      <c r="B5" s="72" t="s">
        <v>56</v>
      </c>
      <c r="C5" s="77">
        <f>6.277541488275*10000</f>
        <v>62775.41488275</v>
      </c>
      <c r="D5" s="77">
        <f>8.91195730844001*10000</f>
        <v>89119.57308440011</v>
      </c>
      <c r="E5" s="78">
        <f>13.2052*10000</f>
        <v>132052</v>
      </c>
    </row>
    <row r="6" spans="2:5" ht="19.5" customHeight="1">
      <c r="B6" s="33"/>
      <c r="C6" s="52"/>
      <c r="D6" s="52"/>
      <c r="E6" s="52"/>
    </row>
    <row r="7" spans="2:5" ht="19.5" customHeight="1">
      <c r="B7" s="15" t="s">
        <v>51</v>
      </c>
      <c r="C7" s="59"/>
      <c r="D7" s="73" t="s">
        <v>54</v>
      </c>
      <c r="E7" s="59" t="s">
        <v>55</v>
      </c>
    </row>
    <row r="8" spans="2:5" ht="19.5" customHeight="1">
      <c r="B8" s="74" t="s">
        <v>56</v>
      </c>
      <c r="C8" s="84" t="s">
        <v>8</v>
      </c>
      <c r="D8" s="46">
        <f>D5-C5</f>
        <v>26344.158201650105</v>
      </c>
      <c r="E8" s="47">
        <f>E5-D5</f>
        <v>42932.42691559989</v>
      </c>
    </row>
    <row r="9" spans="2:5" ht="19.5" customHeight="1">
      <c r="B9" s="30" t="s">
        <v>52</v>
      </c>
      <c r="C9" s="86" t="s">
        <v>8</v>
      </c>
      <c r="D9" s="56">
        <f>(D5-C5)/C5*100</f>
        <v>41.96572535737902</v>
      </c>
      <c r="E9" s="26">
        <f>(E5-D5)/D5*100</f>
        <v>48.17395935564123</v>
      </c>
    </row>
    <row r="10" ht="6.75" customHeight="1"/>
    <row r="11" ht="15.75" customHeight="1">
      <c r="B11" s="27" t="s">
        <v>30</v>
      </c>
    </row>
    <row r="12" ht="12" customHeight="1">
      <c r="B12" s="27"/>
    </row>
    <row r="13" ht="19.5" customHeight="1"/>
    <row r="14" ht="19.5" customHeight="1"/>
    <row r="15" ht="19.5" customHeight="1"/>
    <row r="16" ht="19.5" customHeight="1"/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M20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3.28125" style="12" customWidth="1"/>
    <col min="2" max="2" width="10.28125" style="12" customWidth="1"/>
    <col min="3" max="11" width="9.00390625" style="12" customWidth="1"/>
    <col min="12" max="12" width="3.28125" style="12" customWidth="1"/>
    <col min="13" max="16384" width="9.00390625" style="12" customWidth="1"/>
  </cols>
  <sheetData>
    <row r="1" ht="13.5" customHeight="1"/>
    <row r="2" ht="19.5" customHeight="1">
      <c r="B2" s="13" t="s">
        <v>92</v>
      </c>
    </row>
    <row r="3" ht="19.5" customHeight="1">
      <c r="K3" s="45" t="s">
        <v>66</v>
      </c>
    </row>
    <row r="4" spans="2:11" ht="45" customHeight="1">
      <c r="B4" s="15" t="s">
        <v>63</v>
      </c>
      <c r="C4" s="73" t="s">
        <v>64</v>
      </c>
      <c r="D4" s="31" t="s">
        <v>0</v>
      </c>
      <c r="E4" s="31" t="s">
        <v>1</v>
      </c>
      <c r="F4" s="31" t="s">
        <v>2</v>
      </c>
      <c r="G4" s="31" t="s">
        <v>3</v>
      </c>
      <c r="H4" s="31" t="s">
        <v>4</v>
      </c>
      <c r="I4" s="31" t="s">
        <v>5</v>
      </c>
      <c r="J4" s="31" t="s">
        <v>6</v>
      </c>
      <c r="K4" s="89" t="s">
        <v>65</v>
      </c>
    </row>
    <row r="5" spans="2:13" ht="19.5" customHeight="1">
      <c r="B5" s="90">
        <v>2010</v>
      </c>
      <c r="C5" s="93">
        <f>0.2752*10</f>
        <v>2.752</v>
      </c>
      <c r="D5" s="94">
        <f>2.6807*10</f>
        <v>26.807</v>
      </c>
      <c r="E5" s="94">
        <f>8.6005*10</f>
        <v>86.005</v>
      </c>
      <c r="F5" s="94">
        <f>16.4598*10</f>
        <v>164.598</v>
      </c>
      <c r="G5" s="94">
        <f>28.853*10</f>
        <v>288.53000000000003</v>
      </c>
      <c r="H5" s="94">
        <f>28.2637*10</f>
        <v>282.637</v>
      </c>
      <c r="I5" s="94">
        <f>16.156*10</f>
        <v>161.56</v>
      </c>
      <c r="J5" s="94">
        <f>5.2731*10</f>
        <v>52.731</v>
      </c>
      <c r="K5" s="95">
        <f>1.6079*10</f>
        <v>16.079</v>
      </c>
      <c r="M5" s="91"/>
    </row>
    <row r="6" spans="2:13" ht="19.5" customHeight="1">
      <c r="B6" s="90">
        <v>2005</v>
      </c>
      <c r="C6" s="96">
        <f>0.308385973819*10</f>
        <v>3.08385973819</v>
      </c>
      <c r="D6" s="96">
        <f>3.427995445973*10</f>
        <v>34.27995445973</v>
      </c>
      <c r="E6" s="96">
        <f>10.213536849914*10</f>
        <v>102.13536849914</v>
      </c>
      <c r="F6" s="96">
        <f>21.956854900772*10</f>
        <v>219.56854900772</v>
      </c>
      <c r="G6" s="96">
        <f>26.999432167366*10</f>
        <v>269.99432167366</v>
      </c>
      <c r="H6" s="96">
        <f>24.803271807452*10</f>
        <v>248.03271807452</v>
      </c>
      <c r="I6" s="96">
        <f>13.076843990228*10</f>
        <v>130.76843990228</v>
      </c>
      <c r="J6" s="96">
        <f>4.780969745953*10</f>
        <v>47.80969745953</v>
      </c>
      <c r="K6" s="63">
        <f>1.595037571725*10</f>
        <v>15.950375717250001</v>
      </c>
      <c r="M6" s="91"/>
    </row>
    <row r="7" spans="2:13" ht="19.5" customHeight="1">
      <c r="B7" s="92">
        <v>2000</v>
      </c>
      <c r="C7" s="88">
        <f>0.235801739656*10</f>
        <v>2.3580173965599998</v>
      </c>
      <c r="D7" s="64">
        <f>2.694513872491*10</f>
        <v>26.945138724910002</v>
      </c>
      <c r="E7" s="64">
        <f>10.253759956601*10</f>
        <v>102.53759956601</v>
      </c>
      <c r="F7" s="64">
        <f>16.117246466338*10</f>
        <v>161.17246466338</v>
      </c>
      <c r="G7" s="64">
        <f>20.217147144939*10</f>
        <v>202.17147144938997</v>
      </c>
      <c r="H7" s="64">
        <f>19.229465080559*10</f>
        <v>192.29465080558998</v>
      </c>
      <c r="I7" s="64">
        <f>11.986191682465*10</f>
        <v>119.86191682465</v>
      </c>
      <c r="J7" s="64">
        <f>4.914650806186*10</f>
        <v>49.14650806186</v>
      </c>
      <c r="K7" s="65">
        <f>1.177259731495*10</f>
        <v>11.77259731495</v>
      </c>
      <c r="M7" s="91"/>
    </row>
    <row r="8" ht="7.5" customHeight="1"/>
    <row r="9" ht="15" customHeight="1">
      <c r="B9" s="27" t="s">
        <v>30</v>
      </c>
    </row>
    <row r="10" ht="15" customHeight="1">
      <c r="B10" s="27"/>
    </row>
    <row r="11" ht="19.5" customHeight="1"/>
    <row r="12" ht="19.5" customHeight="1">
      <c r="B12" s="13" t="s">
        <v>93</v>
      </c>
    </row>
    <row r="13" ht="19.5" customHeight="1">
      <c r="K13" s="45" t="s">
        <v>66</v>
      </c>
    </row>
    <row r="14" spans="2:11" ht="45" customHeight="1">
      <c r="B14" s="15" t="s">
        <v>63</v>
      </c>
      <c r="C14" s="73" t="s">
        <v>64</v>
      </c>
      <c r="D14" s="31" t="s">
        <v>0</v>
      </c>
      <c r="E14" s="31" t="s">
        <v>1</v>
      </c>
      <c r="F14" s="31" t="s">
        <v>2</v>
      </c>
      <c r="G14" s="31" t="s">
        <v>3</v>
      </c>
      <c r="H14" s="31" t="s">
        <v>4</v>
      </c>
      <c r="I14" s="31" t="s">
        <v>5</v>
      </c>
      <c r="J14" s="31" t="s">
        <v>6</v>
      </c>
      <c r="K14" s="89" t="s">
        <v>65</v>
      </c>
    </row>
    <row r="15" spans="2:13" ht="19.5" customHeight="1">
      <c r="B15" s="90">
        <v>2010</v>
      </c>
      <c r="C15" s="62">
        <f>0.2058*10</f>
        <v>2.0580000000000003</v>
      </c>
      <c r="D15" s="62">
        <f>1.005*10</f>
        <v>10.049999999999999</v>
      </c>
      <c r="E15" s="62">
        <f>1.913*10</f>
        <v>19.13</v>
      </c>
      <c r="F15" s="62">
        <f>2.4731*10</f>
        <v>24.731</v>
      </c>
      <c r="G15" s="62">
        <f>3.2024*10</f>
        <v>32.024</v>
      </c>
      <c r="H15" s="62">
        <f>2.5051*10</f>
        <v>25.051000000000002</v>
      </c>
      <c r="I15" s="62">
        <f>1.2914*10</f>
        <v>12.914000000000001</v>
      </c>
      <c r="J15" s="62">
        <f>0.4534*10</f>
        <v>4.534000000000001</v>
      </c>
      <c r="K15" s="63">
        <f>0.156*10</f>
        <v>1.56</v>
      </c>
      <c r="M15" s="91"/>
    </row>
    <row r="16" spans="2:13" ht="19.5" customHeight="1">
      <c r="B16" s="90">
        <v>2005</v>
      </c>
      <c r="C16" s="62">
        <f>0.232500487721*10</f>
        <v>2.32500487721</v>
      </c>
      <c r="D16" s="62">
        <f>0.915620158758*10</f>
        <v>9.15620158758</v>
      </c>
      <c r="E16" s="62">
        <f>1.351783837919*10</f>
        <v>13.51783837919</v>
      </c>
      <c r="F16" s="62">
        <f>2.333088131225*10</f>
        <v>23.33088131225</v>
      </c>
      <c r="G16" s="62">
        <f>1.798276536824*10</f>
        <v>17.98276536824</v>
      </c>
      <c r="H16" s="62">
        <f>1.226612239022*10</f>
        <v>12.26612239022</v>
      </c>
      <c r="I16" s="62">
        <f>0.653895546797*10</f>
        <v>6.53895546797</v>
      </c>
      <c r="J16" s="62">
        <f>0.298263098369*10</f>
        <v>2.98263098369</v>
      </c>
      <c r="K16" s="63">
        <f>0.101917271805*10</f>
        <v>1.01917271805</v>
      </c>
      <c r="M16" s="91"/>
    </row>
    <row r="17" spans="2:13" ht="19.5" customHeight="1">
      <c r="B17" s="92">
        <v>2000</v>
      </c>
      <c r="C17" s="64">
        <f>0.110561892991*10</f>
        <v>1.1056189299099999</v>
      </c>
      <c r="D17" s="64">
        <f>0.639764820004*10</f>
        <v>6.397648200040001</v>
      </c>
      <c r="E17" s="64">
        <f>1.136968713671*10</f>
        <v>11.36968713671</v>
      </c>
      <c r="F17" s="64">
        <f>1.487020012191*10</f>
        <v>14.870200121909999</v>
      </c>
      <c r="G17" s="64">
        <f>1.217874160687*10</f>
        <v>12.17874160687</v>
      </c>
      <c r="H17" s="64">
        <f>0.863480567468*10</f>
        <v>8.634805674679999</v>
      </c>
      <c r="I17" s="64">
        <f>0.472870871919*10</f>
        <v>4.72870871919</v>
      </c>
      <c r="J17" s="64">
        <f>0.263163145827*10</f>
        <v>2.6316314582700002</v>
      </c>
      <c r="K17" s="65">
        <f>0.071330140929*10</f>
        <v>0.7133014092900001</v>
      </c>
      <c r="M17" s="91"/>
    </row>
    <row r="18" ht="7.5" customHeight="1"/>
    <row r="19" ht="15" customHeight="1">
      <c r="B19" s="27" t="s">
        <v>30</v>
      </c>
    </row>
    <row r="20" ht="15" customHeight="1">
      <c r="B20" s="27"/>
    </row>
    <row r="21" ht="13.5" customHeight="1"/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0"/>
  <sheetViews>
    <sheetView showGridLines="0" zoomScalePageLayoutView="0" workbookViewId="0" topLeftCell="A1">
      <selection activeCell="C7" sqref="C7"/>
    </sheetView>
  </sheetViews>
  <sheetFormatPr defaultColWidth="9.00390625" defaultRowHeight="15"/>
  <cols>
    <col min="1" max="1" width="9.00390625" style="12" customWidth="1"/>
    <col min="2" max="2" width="1.57421875" style="12" customWidth="1"/>
    <col min="3" max="3" width="30.7109375" style="12" customWidth="1"/>
    <col min="4" max="4" width="19.8515625" style="12" customWidth="1"/>
    <col min="5" max="5" width="15.7109375" style="12" customWidth="1"/>
    <col min="6" max="6" width="3.8515625" style="12" customWidth="1"/>
    <col min="7" max="16384" width="9.00390625" style="12" customWidth="1"/>
  </cols>
  <sheetData>
    <row r="1" ht="19.5" customHeight="1"/>
    <row r="2" ht="23.25" customHeight="1">
      <c r="C2" s="13" t="s">
        <v>13</v>
      </c>
    </row>
    <row r="3" ht="9" customHeight="1">
      <c r="C3" s="14"/>
    </row>
    <row r="4" spans="2:6" ht="25.5" customHeight="1">
      <c r="B4" s="18"/>
      <c r="C4" s="31" t="s">
        <v>12</v>
      </c>
      <c r="D4" s="15" t="s">
        <v>11</v>
      </c>
      <c r="E4" s="16" t="s">
        <v>10</v>
      </c>
      <c r="F4" s="17"/>
    </row>
    <row r="5" spans="2:6" ht="24" customHeight="1">
      <c r="B5" s="18" t="s">
        <v>20</v>
      </c>
      <c r="C5" s="32"/>
      <c r="D5" s="19">
        <f>D6+D7</f>
        <v>1081699</v>
      </c>
      <c r="E5" s="20">
        <f>D5/$D$5*100</f>
        <v>100</v>
      </c>
      <c r="F5" s="21"/>
    </row>
    <row r="6" spans="2:6" ht="33.75" customHeight="1">
      <c r="B6" s="22"/>
      <c r="C6" s="33" t="s">
        <v>101</v>
      </c>
      <c r="D6" s="23">
        <v>755972</v>
      </c>
      <c r="E6" s="24">
        <f>D6/$D$5*100</f>
        <v>69.88746407272264</v>
      </c>
      <c r="F6" s="21"/>
    </row>
    <row r="7" spans="2:6" ht="53.25" customHeight="1">
      <c r="B7" s="35"/>
      <c r="C7" s="34" t="s">
        <v>102</v>
      </c>
      <c r="D7" s="25">
        <v>325727</v>
      </c>
      <c r="E7" s="26">
        <f>D7/$D$5*100</f>
        <v>30.112535927277367</v>
      </c>
      <c r="F7" s="21"/>
    </row>
    <row r="8" ht="6.75" customHeight="1"/>
    <row r="9" ht="15" customHeight="1">
      <c r="C9" s="27" t="s">
        <v>9</v>
      </c>
    </row>
    <row r="10" ht="15" customHeight="1">
      <c r="C10" s="27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8515625" style="12" customWidth="1"/>
    <col min="2" max="2" width="25.7109375" style="12" customWidth="1"/>
    <col min="3" max="3" width="20.57421875" style="12" customWidth="1"/>
    <col min="4" max="4" width="15.7109375" style="12" customWidth="1"/>
    <col min="5" max="16384" width="8.8515625" style="12" customWidth="1"/>
  </cols>
  <sheetData>
    <row r="1" ht="19.5" customHeight="1"/>
    <row r="2" ht="19.5" customHeight="1">
      <c r="B2" s="13" t="s">
        <v>14</v>
      </c>
    </row>
    <row r="3" ht="9" customHeight="1">
      <c r="B3" s="13"/>
    </row>
    <row r="4" spans="2:5" ht="19.5" customHeight="1">
      <c r="B4" s="36" t="s">
        <v>18</v>
      </c>
      <c r="C4" s="15" t="s">
        <v>11</v>
      </c>
      <c r="D4" s="16" t="s">
        <v>10</v>
      </c>
      <c r="E4" s="17"/>
    </row>
    <row r="5" spans="2:5" ht="19.5" customHeight="1">
      <c r="B5" s="28" t="s">
        <v>19</v>
      </c>
      <c r="C5" s="19">
        <f>SUM(C6:C8)</f>
        <v>1081699</v>
      </c>
      <c r="D5" s="20">
        <f>C5/$C$5*100</f>
        <v>100</v>
      </c>
      <c r="E5" s="21"/>
    </row>
    <row r="6" spans="2:5" ht="19.5" customHeight="1">
      <c r="B6" s="29" t="s">
        <v>15</v>
      </c>
      <c r="C6" s="23">
        <v>132052</v>
      </c>
      <c r="D6" s="24">
        <f>C6/$C$5*100</f>
        <v>12.207832308248413</v>
      </c>
      <c r="E6" s="37"/>
    </row>
    <row r="7" spans="2:5" ht="19.5" customHeight="1">
      <c r="B7" s="29" t="s">
        <v>16</v>
      </c>
      <c r="C7" s="23">
        <v>77912</v>
      </c>
      <c r="D7" s="24">
        <f>C7/$C$5*100</f>
        <v>7.202743092117123</v>
      </c>
      <c r="E7" s="37"/>
    </row>
    <row r="8" spans="2:5" ht="19.5" customHeight="1">
      <c r="B8" s="30" t="s">
        <v>17</v>
      </c>
      <c r="C8" s="25">
        <v>871735</v>
      </c>
      <c r="D8" s="26">
        <f>C8/$C$5*100</f>
        <v>80.58942459963447</v>
      </c>
      <c r="E8" s="37"/>
    </row>
    <row r="9" ht="6.75" customHeight="1"/>
    <row r="10" ht="15" customHeight="1">
      <c r="B10" s="27" t="s">
        <v>9</v>
      </c>
    </row>
    <row r="11" ht="15" customHeight="1">
      <c r="B11" s="27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8515625" style="12" customWidth="1"/>
    <col min="2" max="2" width="24.00390625" style="12" customWidth="1"/>
    <col min="3" max="3" width="19.8515625" style="12" customWidth="1"/>
    <col min="4" max="4" width="15.7109375" style="12" customWidth="1"/>
    <col min="5" max="16384" width="8.8515625" style="12" customWidth="1"/>
  </cols>
  <sheetData>
    <row r="1" ht="19.5" customHeight="1"/>
    <row r="2" ht="19.5" customHeight="1">
      <c r="B2" s="13" t="s">
        <v>90</v>
      </c>
    </row>
    <row r="3" ht="8.25" customHeight="1">
      <c r="B3" s="13"/>
    </row>
    <row r="4" spans="2:5" ht="19.5" customHeight="1">
      <c r="B4" s="38" t="s">
        <v>31</v>
      </c>
      <c r="C4" s="15" t="s">
        <v>11</v>
      </c>
      <c r="D4" s="15" t="s">
        <v>10</v>
      </c>
      <c r="E4" s="39"/>
    </row>
    <row r="5" spans="1:5" ht="19.5" customHeight="1">
      <c r="A5" s="40"/>
      <c r="B5" s="41" t="s">
        <v>28</v>
      </c>
      <c r="C5" s="19">
        <f>SUM(C6:C14)</f>
        <v>1081699</v>
      </c>
      <c r="D5" s="24">
        <f>C5/$C$5*100</f>
        <v>100</v>
      </c>
      <c r="E5" s="17"/>
    </row>
    <row r="6" spans="1:5" ht="19.5" customHeight="1">
      <c r="A6" s="40"/>
      <c r="B6" s="67" t="s">
        <v>21</v>
      </c>
      <c r="C6" s="23">
        <v>2752</v>
      </c>
      <c r="D6" s="24">
        <f aca="true" t="shared" si="0" ref="D6:D14">C6/$C$5*100</f>
        <v>0.25441458298473046</v>
      </c>
      <c r="E6" s="17"/>
    </row>
    <row r="7" spans="1:5" ht="19.5" customHeight="1">
      <c r="A7" s="42"/>
      <c r="B7" s="67" t="s">
        <v>22</v>
      </c>
      <c r="C7" s="23">
        <v>26807</v>
      </c>
      <c r="D7" s="24">
        <f t="shared" si="0"/>
        <v>2.4782310051132526</v>
      </c>
      <c r="E7" s="17"/>
    </row>
    <row r="8" spans="1:5" ht="19.5" customHeight="1">
      <c r="A8" s="42"/>
      <c r="B8" s="67" t="s">
        <v>23</v>
      </c>
      <c r="C8" s="23">
        <v>86005</v>
      </c>
      <c r="D8" s="24">
        <f t="shared" si="0"/>
        <v>7.950917954070402</v>
      </c>
      <c r="E8" s="17"/>
    </row>
    <row r="9" spans="1:5" ht="19.5" customHeight="1">
      <c r="A9" s="42"/>
      <c r="B9" s="67" t="s">
        <v>24</v>
      </c>
      <c r="C9" s="23">
        <v>164598</v>
      </c>
      <c r="D9" s="24">
        <f t="shared" si="0"/>
        <v>15.216617561817106</v>
      </c>
      <c r="E9" s="17"/>
    </row>
    <row r="10" spans="1:5" ht="19.5" customHeight="1">
      <c r="A10" s="42"/>
      <c r="B10" s="67" t="s">
        <v>25</v>
      </c>
      <c r="C10" s="23">
        <v>288530</v>
      </c>
      <c r="D10" s="24">
        <f t="shared" si="0"/>
        <v>26.673778934805338</v>
      </c>
      <c r="E10" s="17"/>
    </row>
    <row r="11" spans="1:5" ht="19.5" customHeight="1">
      <c r="A11" s="42"/>
      <c r="B11" s="67" t="s">
        <v>26</v>
      </c>
      <c r="C11" s="23">
        <v>282637</v>
      </c>
      <c r="D11" s="24">
        <f t="shared" si="0"/>
        <v>26.128987823784623</v>
      </c>
      <c r="E11" s="17"/>
    </row>
    <row r="12" spans="1:5" ht="19.5" customHeight="1">
      <c r="A12" s="42"/>
      <c r="B12" s="67" t="s">
        <v>27</v>
      </c>
      <c r="C12" s="23">
        <v>161560</v>
      </c>
      <c r="D12" s="24">
        <f t="shared" si="0"/>
        <v>14.93576309121114</v>
      </c>
      <c r="E12" s="17"/>
    </row>
    <row r="13" spans="1:5" ht="19.5" customHeight="1">
      <c r="A13" s="42"/>
      <c r="B13" s="67" t="s">
        <v>29</v>
      </c>
      <c r="C13" s="23">
        <v>52731</v>
      </c>
      <c r="D13" s="24">
        <f t="shared" si="0"/>
        <v>4.874831168374936</v>
      </c>
      <c r="E13" s="17"/>
    </row>
    <row r="14" spans="1:5" ht="19.5" customHeight="1">
      <c r="A14" s="42"/>
      <c r="B14" s="68" t="s">
        <v>49</v>
      </c>
      <c r="C14" s="25">
        <v>16079</v>
      </c>
      <c r="D14" s="26">
        <f t="shared" si="0"/>
        <v>1.4864578778384745</v>
      </c>
      <c r="E14" s="21"/>
    </row>
    <row r="15" ht="6.75" customHeight="1"/>
    <row r="16" ht="19.5" customHeight="1">
      <c r="B16" s="27" t="s">
        <v>9</v>
      </c>
    </row>
    <row r="17" ht="19.5" customHeight="1"/>
    <row r="18" ht="19.5" customHeight="1"/>
    <row r="19" ht="19.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18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3.7109375" style="12" customWidth="1"/>
    <col min="2" max="2" width="24.00390625" style="12" customWidth="1"/>
    <col min="3" max="3" width="12.7109375" style="12" customWidth="1"/>
    <col min="4" max="4" width="14.28125" style="12" customWidth="1"/>
    <col min="5" max="6" width="12.7109375" style="12" customWidth="1"/>
    <col min="7" max="9" width="2.7109375" style="12" customWidth="1"/>
    <col min="10" max="10" width="24.00390625" style="12" customWidth="1"/>
    <col min="11" max="11" width="12.7109375" style="12" customWidth="1"/>
    <col min="12" max="12" width="14.28125" style="12" customWidth="1"/>
    <col min="13" max="14" width="12.7109375" style="12" customWidth="1"/>
    <col min="15" max="15" width="4.28125" style="12" customWidth="1"/>
    <col min="16" max="16384" width="9.00390625" style="12" customWidth="1"/>
  </cols>
  <sheetData>
    <row r="1" ht="19.5" customHeight="1"/>
    <row r="2" spans="2:10" ht="19.5" customHeight="1">
      <c r="B2" s="13" t="s">
        <v>39</v>
      </c>
      <c r="J2" s="13" t="s">
        <v>87</v>
      </c>
    </row>
    <row r="3" spans="2:11" s="44" customFormat="1" ht="19.5" customHeight="1">
      <c r="B3" s="43"/>
      <c r="C3" s="60" t="s">
        <v>38</v>
      </c>
      <c r="J3" s="43"/>
      <c r="K3" s="60" t="s">
        <v>86</v>
      </c>
    </row>
    <row r="4" spans="2:10" ht="8.25" customHeight="1">
      <c r="B4" s="13"/>
      <c r="J4" s="13"/>
    </row>
    <row r="5" spans="2:14" ht="19.5" customHeight="1">
      <c r="B5" s="13"/>
      <c r="F5" s="45" t="s">
        <v>32</v>
      </c>
      <c r="J5" s="13"/>
      <c r="N5" s="45" t="s">
        <v>33</v>
      </c>
    </row>
    <row r="6" spans="2:14" ht="19.5" customHeight="1">
      <c r="B6" s="38" t="s">
        <v>31</v>
      </c>
      <c r="C6" s="15" t="s">
        <v>34</v>
      </c>
      <c r="D6" s="15" t="s">
        <v>35</v>
      </c>
      <c r="E6" s="15" t="s">
        <v>37</v>
      </c>
      <c r="F6" s="15" t="s">
        <v>36</v>
      </c>
      <c r="J6" s="38" t="s">
        <v>31</v>
      </c>
      <c r="K6" s="15" t="s">
        <v>34</v>
      </c>
      <c r="L6" s="15" t="s">
        <v>35</v>
      </c>
      <c r="M6" s="15" t="s">
        <v>37</v>
      </c>
      <c r="N6" s="15" t="s">
        <v>36</v>
      </c>
    </row>
    <row r="7" spans="2:14" ht="19.5" customHeight="1">
      <c r="B7" s="41" t="s">
        <v>28</v>
      </c>
      <c r="C7" s="19">
        <f>SUM(C8:C16)</f>
        <v>1081699</v>
      </c>
      <c r="D7" s="46">
        <f>SUM(D8:D16)</f>
        <v>132052</v>
      </c>
      <c r="E7" s="46">
        <f>SUM(E8:E16)</f>
        <v>77912</v>
      </c>
      <c r="F7" s="47">
        <f>SUM(F8:F16)</f>
        <v>871735</v>
      </c>
      <c r="J7" s="41" t="s">
        <v>28</v>
      </c>
      <c r="K7" s="48">
        <f>C7/$C$7*100</f>
        <v>100</v>
      </c>
      <c r="L7" s="49">
        <f>D7/$D$7*100</f>
        <v>100</v>
      </c>
      <c r="M7" s="49">
        <f>E7/$E$7*100</f>
        <v>100</v>
      </c>
      <c r="N7" s="20">
        <f>F7/$F$7*100</f>
        <v>100</v>
      </c>
    </row>
    <row r="8" spans="2:14" ht="19.5" customHeight="1">
      <c r="B8" s="67" t="s">
        <v>21</v>
      </c>
      <c r="C8" s="23">
        <f>SUM(D8:F8)</f>
        <v>2752</v>
      </c>
      <c r="D8" s="21">
        <v>2058</v>
      </c>
      <c r="E8" s="21">
        <v>10</v>
      </c>
      <c r="F8" s="50">
        <v>684</v>
      </c>
      <c r="J8" s="67" t="s">
        <v>21</v>
      </c>
      <c r="K8" s="51">
        <f aca="true" t="shared" si="0" ref="K8:K16">C8/$C$7*100</f>
        <v>0.25441458298473046</v>
      </c>
      <c r="L8" s="52">
        <f aca="true" t="shared" si="1" ref="L8:L16">D8/$D$7*100</f>
        <v>1.558476963620392</v>
      </c>
      <c r="M8" s="52">
        <f aca="true" t="shared" si="2" ref="M8:M16">E8/$E$7*100</f>
        <v>0.01283499332580347</v>
      </c>
      <c r="N8" s="24">
        <f aca="true" t="shared" si="3" ref="N8:N16">F8/$F$7*100</f>
        <v>0.0784642121745714</v>
      </c>
    </row>
    <row r="9" spans="2:14" ht="19.5" customHeight="1">
      <c r="B9" s="67" t="s">
        <v>22</v>
      </c>
      <c r="C9" s="23">
        <f aca="true" t="shared" si="4" ref="C9:C16">SUM(D9:F9)</f>
        <v>26807</v>
      </c>
      <c r="D9" s="21">
        <v>10050</v>
      </c>
      <c r="E9" s="21">
        <v>195</v>
      </c>
      <c r="F9" s="50">
        <v>16562</v>
      </c>
      <c r="J9" s="67" t="s">
        <v>22</v>
      </c>
      <c r="K9" s="51">
        <f t="shared" si="0"/>
        <v>2.4782310051132526</v>
      </c>
      <c r="L9" s="52">
        <f t="shared" si="1"/>
        <v>7.610638233423198</v>
      </c>
      <c r="M9" s="52">
        <f t="shared" si="2"/>
        <v>0.2502823698531677</v>
      </c>
      <c r="N9" s="24">
        <f t="shared" si="3"/>
        <v>1.899889301221128</v>
      </c>
    </row>
    <row r="10" spans="2:14" ht="19.5" customHeight="1">
      <c r="B10" s="67" t="s">
        <v>23</v>
      </c>
      <c r="C10" s="23">
        <f t="shared" si="4"/>
        <v>86005</v>
      </c>
      <c r="D10" s="21">
        <v>19130</v>
      </c>
      <c r="E10" s="21">
        <v>1187</v>
      </c>
      <c r="F10" s="50">
        <v>65688</v>
      </c>
      <c r="J10" s="67" t="s">
        <v>23</v>
      </c>
      <c r="K10" s="51">
        <f t="shared" si="0"/>
        <v>7.950917954070402</v>
      </c>
      <c r="L10" s="52">
        <f t="shared" si="1"/>
        <v>14.486717353769727</v>
      </c>
      <c r="M10" s="52">
        <f t="shared" si="2"/>
        <v>1.523513707772872</v>
      </c>
      <c r="N10" s="24">
        <f t="shared" si="3"/>
        <v>7.535317499010594</v>
      </c>
    </row>
    <row r="11" spans="2:14" ht="19.5" customHeight="1">
      <c r="B11" s="67" t="s">
        <v>24</v>
      </c>
      <c r="C11" s="23">
        <f t="shared" si="4"/>
        <v>164598</v>
      </c>
      <c r="D11" s="21">
        <v>24731</v>
      </c>
      <c r="E11" s="21">
        <v>4180</v>
      </c>
      <c r="F11" s="50">
        <v>135687</v>
      </c>
      <c r="J11" s="67" t="s">
        <v>24</v>
      </c>
      <c r="K11" s="51">
        <f t="shared" si="0"/>
        <v>15.216617561817106</v>
      </c>
      <c r="L11" s="52">
        <f t="shared" si="1"/>
        <v>18.728228273710357</v>
      </c>
      <c r="M11" s="52">
        <f t="shared" si="2"/>
        <v>5.3650272101858505</v>
      </c>
      <c r="N11" s="24">
        <f t="shared" si="3"/>
        <v>15.565166019489867</v>
      </c>
    </row>
    <row r="12" spans="2:14" ht="19.5" customHeight="1">
      <c r="B12" s="67" t="s">
        <v>25</v>
      </c>
      <c r="C12" s="23">
        <f t="shared" si="4"/>
        <v>288530</v>
      </c>
      <c r="D12" s="21">
        <v>32024</v>
      </c>
      <c r="E12" s="21">
        <v>12468</v>
      </c>
      <c r="F12" s="50">
        <v>244038</v>
      </c>
      <c r="J12" s="67" t="s">
        <v>25</v>
      </c>
      <c r="K12" s="51">
        <f t="shared" si="0"/>
        <v>26.673778934805338</v>
      </c>
      <c r="L12" s="52">
        <f t="shared" si="1"/>
        <v>24.251052615636265</v>
      </c>
      <c r="M12" s="52">
        <f t="shared" si="2"/>
        <v>16.002669678611767</v>
      </c>
      <c r="N12" s="24">
        <f t="shared" si="3"/>
        <v>27.994516682248623</v>
      </c>
    </row>
    <row r="13" spans="2:14" ht="19.5" customHeight="1">
      <c r="B13" s="67" t="s">
        <v>26</v>
      </c>
      <c r="C13" s="23">
        <f t="shared" si="4"/>
        <v>282637</v>
      </c>
      <c r="D13" s="21">
        <v>25051</v>
      </c>
      <c r="E13" s="21">
        <v>22235</v>
      </c>
      <c r="F13" s="50">
        <v>235351</v>
      </c>
      <c r="J13" s="67" t="s">
        <v>26</v>
      </c>
      <c r="K13" s="51">
        <f t="shared" si="0"/>
        <v>26.128987823784623</v>
      </c>
      <c r="L13" s="52">
        <f t="shared" si="1"/>
        <v>18.970557053282043</v>
      </c>
      <c r="M13" s="52">
        <f t="shared" si="2"/>
        <v>28.538607659924015</v>
      </c>
      <c r="N13" s="24">
        <f t="shared" si="3"/>
        <v>26.99799824487946</v>
      </c>
    </row>
    <row r="14" spans="2:14" ht="19.5" customHeight="1">
      <c r="B14" s="67" t="s">
        <v>27</v>
      </c>
      <c r="C14" s="23">
        <f t="shared" si="4"/>
        <v>161560</v>
      </c>
      <c r="D14" s="21">
        <v>12914</v>
      </c>
      <c r="E14" s="21">
        <v>22409</v>
      </c>
      <c r="F14" s="50">
        <v>126237</v>
      </c>
      <c r="J14" s="67" t="s">
        <v>27</v>
      </c>
      <c r="K14" s="51">
        <f t="shared" si="0"/>
        <v>14.93576309121114</v>
      </c>
      <c r="L14" s="52">
        <f t="shared" si="1"/>
        <v>9.779480810589767</v>
      </c>
      <c r="M14" s="52">
        <f t="shared" si="2"/>
        <v>28.761936543793</v>
      </c>
      <c r="N14" s="24">
        <f t="shared" si="3"/>
        <v>14.481120982867498</v>
      </c>
    </row>
    <row r="15" spans="2:14" ht="19.5" customHeight="1">
      <c r="B15" s="67" t="s">
        <v>29</v>
      </c>
      <c r="C15" s="23">
        <f t="shared" si="4"/>
        <v>52731</v>
      </c>
      <c r="D15" s="21">
        <v>4534</v>
      </c>
      <c r="E15" s="21">
        <v>10845</v>
      </c>
      <c r="F15" s="50">
        <v>37352</v>
      </c>
      <c r="J15" s="67" t="s">
        <v>29</v>
      </c>
      <c r="K15" s="51">
        <f t="shared" si="0"/>
        <v>4.874831168374936</v>
      </c>
      <c r="L15" s="52">
        <f t="shared" si="1"/>
        <v>3.433495895556296</v>
      </c>
      <c r="M15" s="52">
        <f t="shared" si="2"/>
        <v>13.919550261833862</v>
      </c>
      <c r="N15" s="24">
        <f t="shared" si="3"/>
        <v>4.284788381790337</v>
      </c>
    </row>
    <row r="16" spans="2:14" ht="19.5" customHeight="1">
      <c r="B16" s="68" t="s">
        <v>49</v>
      </c>
      <c r="C16" s="25">
        <f t="shared" si="4"/>
        <v>16079</v>
      </c>
      <c r="D16" s="53">
        <v>1560</v>
      </c>
      <c r="E16" s="53">
        <v>4383</v>
      </c>
      <c r="F16" s="54">
        <v>10136</v>
      </c>
      <c r="J16" s="68" t="s">
        <v>49</v>
      </c>
      <c r="K16" s="55">
        <f t="shared" si="0"/>
        <v>1.4864578778384745</v>
      </c>
      <c r="L16" s="56">
        <f t="shared" si="1"/>
        <v>1.181352800411959</v>
      </c>
      <c r="M16" s="56">
        <f t="shared" si="2"/>
        <v>5.625577574699661</v>
      </c>
      <c r="N16" s="26">
        <f t="shared" si="3"/>
        <v>1.1627386763179177</v>
      </c>
    </row>
    <row r="17" ht="6.75" customHeight="1"/>
    <row r="18" spans="2:10" ht="19.5" customHeight="1">
      <c r="B18" s="27" t="s">
        <v>9</v>
      </c>
      <c r="J18" s="27" t="s">
        <v>9</v>
      </c>
    </row>
    <row r="19" ht="19.5" customHeight="1"/>
    <row r="20" ht="19.5" customHeight="1"/>
    <row r="21" ht="19.5" customHeight="1"/>
  </sheetData>
  <sheetProtection/>
  <printOptions/>
  <pageMargins left="0.7" right="0.7" top="0.75" bottom="0.75" header="0.3" footer="0.3"/>
  <pageSetup horizontalDpi="1200" verticalDpi="1200" orientation="landscape" paperSize="9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K19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2.7109375" style="12" customWidth="1"/>
    <col min="2" max="2" width="16.7109375" style="12" customWidth="1"/>
    <col min="3" max="5" width="18.7109375" style="12" customWidth="1"/>
    <col min="6" max="7" width="5.7109375" style="12" customWidth="1"/>
    <col min="8" max="8" width="16.7109375" style="12" customWidth="1"/>
    <col min="9" max="11" width="18.7109375" style="12" customWidth="1"/>
    <col min="12" max="12" width="2.140625" style="12" customWidth="1"/>
    <col min="13" max="16384" width="9.00390625" style="12" customWidth="1"/>
  </cols>
  <sheetData>
    <row r="1" ht="19.5" customHeight="1"/>
    <row r="2" spans="2:8" ht="19.5" customHeight="1">
      <c r="B2" s="13" t="s">
        <v>40</v>
      </c>
      <c r="H2" s="13" t="s">
        <v>41</v>
      </c>
    </row>
    <row r="3" spans="2:9" ht="17.25" customHeight="1">
      <c r="B3" s="13"/>
      <c r="C3" s="61" t="s">
        <v>42</v>
      </c>
      <c r="H3" s="13"/>
      <c r="I3" s="61" t="s">
        <v>42</v>
      </c>
    </row>
    <row r="4" spans="2:11" ht="14.25" customHeight="1">
      <c r="B4" s="13"/>
      <c r="E4" s="45" t="s">
        <v>44</v>
      </c>
      <c r="H4" s="13"/>
      <c r="K4" s="45" t="s">
        <v>43</v>
      </c>
    </row>
    <row r="5" spans="2:11" ht="78" customHeight="1">
      <c r="B5" s="58" t="s">
        <v>45</v>
      </c>
      <c r="C5" s="36" t="s">
        <v>19</v>
      </c>
      <c r="D5" s="59" t="s">
        <v>104</v>
      </c>
      <c r="E5" s="59" t="s">
        <v>102</v>
      </c>
      <c r="H5" s="58" t="s">
        <v>45</v>
      </c>
      <c r="I5" s="36" t="s">
        <v>19</v>
      </c>
      <c r="J5" s="59" t="s">
        <v>104</v>
      </c>
      <c r="K5" s="59" t="s">
        <v>102</v>
      </c>
    </row>
    <row r="6" spans="2:11" ht="19.5" customHeight="1">
      <c r="B6" s="28" t="s">
        <v>19</v>
      </c>
      <c r="C6" s="19">
        <f>SUM(C7:C9)</f>
        <v>1081699</v>
      </c>
      <c r="D6" s="46">
        <f>SUM(D7:D9)</f>
        <v>755972</v>
      </c>
      <c r="E6" s="47">
        <f>SUM(E7:E9)</f>
        <v>325727</v>
      </c>
      <c r="H6" s="28" t="s">
        <v>19</v>
      </c>
      <c r="I6" s="48">
        <f>C6/$C$6*100</f>
        <v>100</v>
      </c>
      <c r="J6" s="49">
        <f>D6/$C$6*100</f>
        <v>69.88746407272264</v>
      </c>
      <c r="K6" s="20">
        <f>E6/$C$6*100</f>
        <v>30.112535927277367</v>
      </c>
    </row>
    <row r="7" spans="2:11" ht="19.5" customHeight="1">
      <c r="B7" s="29" t="s">
        <v>15</v>
      </c>
      <c r="C7" s="23">
        <f>D7+E7</f>
        <v>132052</v>
      </c>
      <c r="D7" s="21">
        <v>76594</v>
      </c>
      <c r="E7" s="50">
        <v>55458</v>
      </c>
      <c r="H7" s="29" t="s">
        <v>15</v>
      </c>
      <c r="I7" s="51">
        <f>C7/$C$7*100</f>
        <v>100</v>
      </c>
      <c r="J7" s="52">
        <f>D7/$C$7*100</f>
        <v>58.00290794535486</v>
      </c>
      <c r="K7" s="24">
        <f>E7/$C$7*100</f>
        <v>41.997092054645144</v>
      </c>
    </row>
    <row r="8" spans="2:11" ht="19.5" customHeight="1">
      <c r="B8" s="29" t="s">
        <v>16</v>
      </c>
      <c r="C8" s="23">
        <f>D8+E8</f>
        <v>77912</v>
      </c>
      <c r="D8" s="21">
        <v>59364</v>
      </c>
      <c r="E8" s="50">
        <v>18548</v>
      </c>
      <c r="H8" s="29" t="s">
        <v>16</v>
      </c>
      <c r="I8" s="51">
        <f>C8/$C$8*100</f>
        <v>100</v>
      </c>
      <c r="J8" s="52">
        <f>D8/$C$8*100</f>
        <v>76.19365437929973</v>
      </c>
      <c r="K8" s="24">
        <f>E8/$C$8*100</f>
        <v>23.806345620700277</v>
      </c>
    </row>
    <row r="9" spans="2:11" ht="19.5" customHeight="1">
      <c r="B9" s="30" t="s">
        <v>17</v>
      </c>
      <c r="C9" s="25">
        <f>D9+E9</f>
        <v>871735</v>
      </c>
      <c r="D9" s="53">
        <v>620014</v>
      </c>
      <c r="E9" s="54">
        <v>251721</v>
      </c>
      <c r="H9" s="30" t="s">
        <v>17</v>
      </c>
      <c r="I9" s="55">
        <f>C9/$C$9*100</f>
        <v>100</v>
      </c>
      <c r="J9" s="56">
        <f>D9/$C$9*100</f>
        <v>71.12413749591332</v>
      </c>
      <c r="K9" s="26">
        <f>E9/$C$9*100</f>
        <v>28.87586250408668</v>
      </c>
    </row>
    <row r="10" ht="6.75" customHeight="1"/>
    <row r="11" spans="2:8" ht="15" customHeight="1">
      <c r="B11" s="27" t="s">
        <v>9</v>
      </c>
      <c r="H11" s="27" t="s">
        <v>9</v>
      </c>
    </row>
    <row r="12" ht="15" customHeight="1">
      <c r="B12" s="27"/>
    </row>
    <row r="15" spans="7:10" ht="15">
      <c r="G15" s="57"/>
      <c r="H15" s="57"/>
      <c r="I15" s="57"/>
      <c r="J15" s="57"/>
    </row>
    <row r="16" spans="9:10" ht="15">
      <c r="I16" s="57"/>
      <c r="J16" s="57"/>
    </row>
    <row r="17" spans="8:10" ht="15">
      <c r="H17" s="57"/>
      <c r="J17" s="57"/>
    </row>
    <row r="18" spans="8:10" ht="15">
      <c r="H18" s="57"/>
      <c r="J18" s="57"/>
    </row>
    <row r="19" spans="8:10" ht="15">
      <c r="H19" s="57"/>
      <c r="J19" s="57"/>
    </row>
  </sheetData>
  <sheetProtection/>
  <printOptions/>
  <pageMargins left="0.7" right="0.7" top="0.75" bottom="0.75" header="0.3" footer="0.3"/>
  <pageSetup horizontalDpi="600" verticalDpi="600" orientation="landscape" paperSize="9" r:id="rId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F17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3.7109375" style="12" customWidth="1"/>
    <col min="2" max="2" width="24.00390625" style="12" customWidth="1"/>
    <col min="3" max="3" width="12.7109375" style="12" customWidth="1"/>
    <col min="4" max="4" width="15.140625" style="12" customWidth="1"/>
    <col min="5" max="6" width="12.7109375" style="12" customWidth="1"/>
    <col min="7" max="7" width="4.28125" style="12" customWidth="1"/>
    <col min="8" max="8" width="3.7109375" style="12" customWidth="1"/>
    <col min="9" max="16384" width="9.00390625" style="12" customWidth="1"/>
  </cols>
  <sheetData>
    <row r="1" ht="19.5" customHeight="1"/>
    <row r="2" ht="19.5" customHeight="1">
      <c r="B2" s="13" t="s">
        <v>48</v>
      </c>
    </row>
    <row r="3" spans="2:6" ht="15" customHeight="1">
      <c r="B3" s="43"/>
      <c r="C3" s="60" t="s">
        <v>46</v>
      </c>
      <c r="D3" s="44"/>
      <c r="E3" s="44"/>
      <c r="F3" s="44"/>
    </row>
    <row r="4" spans="2:6" ht="27" customHeight="1">
      <c r="B4" s="13"/>
      <c r="F4" s="66" t="s">
        <v>32</v>
      </c>
    </row>
    <row r="5" spans="2:6" ht="19.5" customHeight="1">
      <c r="B5" s="38" t="s">
        <v>47</v>
      </c>
      <c r="C5" s="15" t="s">
        <v>34</v>
      </c>
      <c r="D5" s="15" t="s">
        <v>35</v>
      </c>
      <c r="E5" s="15" t="s">
        <v>37</v>
      </c>
      <c r="F5" s="15" t="s">
        <v>36</v>
      </c>
    </row>
    <row r="6" spans="2:6" ht="19.5" customHeight="1">
      <c r="B6" s="41" t="s">
        <v>28</v>
      </c>
      <c r="C6" s="19">
        <f>SUM(C7:C15)</f>
        <v>755972</v>
      </c>
      <c r="D6" s="46">
        <f>SUM(D7:D15)</f>
        <v>76594</v>
      </c>
      <c r="E6" s="46">
        <f>SUM(E7:E15)</f>
        <v>59364</v>
      </c>
      <c r="F6" s="47">
        <f>SUM(F7:F15)</f>
        <v>620014</v>
      </c>
    </row>
    <row r="7" spans="2:6" ht="19.5" customHeight="1">
      <c r="B7" s="67" t="s">
        <v>21</v>
      </c>
      <c r="C7" s="23">
        <f>SUM(D7:F7)</f>
        <v>571</v>
      </c>
      <c r="D7" s="62">
        <v>292</v>
      </c>
      <c r="E7" s="62">
        <v>4</v>
      </c>
      <c r="F7" s="63">
        <v>275</v>
      </c>
    </row>
    <row r="8" spans="2:6" ht="19.5" customHeight="1">
      <c r="B8" s="67" t="s">
        <v>22</v>
      </c>
      <c r="C8" s="23">
        <f aca="true" t="shared" si="0" ref="C8:C15">SUM(D8:F8)</f>
        <v>12685</v>
      </c>
      <c r="D8" s="62">
        <v>3541</v>
      </c>
      <c r="E8" s="62">
        <v>109</v>
      </c>
      <c r="F8" s="63">
        <v>9035</v>
      </c>
    </row>
    <row r="9" spans="2:6" ht="19.5" customHeight="1">
      <c r="B9" s="67" t="s">
        <v>23</v>
      </c>
      <c r="C9" s="23">
        <f t="shared" si="0"/>
        <v>50147</v>
      </c>
      <c r="D9" s="62">
        <v>9097</v>
      </c>
      <c r="E9" s="62">
        <v>720</v>
      </c>
      <c r="F9" s="63">
        <v>40330</v>
      </c>
    </row>
    <row r="10" spans="2:6" ht="19.5" customHeight="1">
      <c r="B10" s="67" t="s">
        <v>24</v>
      </c>
      <c r="C10" s="23">
        <f t="shared" si="0"/>
        <v>105964</v>
      </c>
      <c r="D10" s="62">
        <v>13926</v>
      </c>
      <c r="E10" s="62">
        <v>2889</v>
      </c>
      <c r="F10" s="63">
        <v>89149</v>
      </c>
    </row>
    <row r="11" spans="2:6" ht="19.5" customHeight="1">
      <c r="B11" s="67" t="s">
        <v>25</v>
      </c>
      <c r="C11" s="23">
        <f t="shared" si="0"/>
        <v>202210</v>
      </c>
      <c r="D11" s="62">
        <v>20304</v>
      </c>
      <c r="E11" s="62">
        <v>9234</v>
      </c>
      <c r="F11" s="63">
        <v>172672</v>
      </c>
    </row>
    <row r="12" spans="2:6" ht="19.5" customHeight="1">
      <c r="B12" s="67" t="s">
        <v>26</v>
      </c>
      <c r="C12" s="23">
        <f t="shared" si="0"/>
        <v>208191</v>
      </c>
      <c r="D12" s="62">
        <v>16594</v>
      </c>
      <c r="E12" s="62">
        <v>16971</v>
      </c>
      <c r="F12" s="63">
        <v>174626</v>
      </c>
    </row>
    <row r="13" spans="2:6" ht="19.5" customHeight="1">
      <c r="B13" s="67" t="s">
        <v>27</v>
      </c>
      <c r="C13" s="23">
        <f t="shared" si="0"/>
        <v>121814</v>
      </c>
      <c r="D13" s="62">
        <v>8629</v>
      </c>
      <c r="E13" s="62">
        <v>17150</v>
      </c>
      <c r="F13" s="63">
        <v>96035</v>
      </c>
    </row>
    <row r="14" spans="2:6" ht="19.5" customHeight="1">
      <c r="B14" s="67" t="s">
        <v>29</v>
      </c>
      <c r="C14" s="23">
        <f t="shared" si="0"/>
        <v>41005</v>
      </c>
      <c r="D14" s="62">
        <v>3135</v>
      </c>
      <c r="E14" s="62">
        <v>8570</v>
      </c>
      <c r="F14" s="63">
        <v>29300</v>
      </c>
    </row>
    <row r="15" spans="2:6" ht="19.5" customHeight="1">
      <c r="B15" s="68" t="s">
        <v>49</v>
      </c>
      <c r="C15" s="25">
        <f t="shared" si="0"/>
        <v>13385</v>
      </c>
      <c r="D15" s="64">
        <v>1076</v>
      </c>
      <c r="E15" s="64">
        <v>3717</v>
      </c>
      <c r="F15" s="65">
        <v>8592</v>
      </c>
    </row>
    <row r="16" ht="6.75" customHeight="1"/>
    <row r="17" ht="18.75" customHeight="1">
      <c r="B17" s="27" t="s">
        <v>9</v>
      </c>
    </row>
    <row r="18" ht="15.75" customHeight="1"/>
    <row r="19" ht="19.5" customHeight="1"/>
    <row r="20" ht="19.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U18"/>
  <sheetViews>
    <sheetView showGridLines="0" zoomScalePageLayoutView="0" workbookViewId="0" topLeftCell="P1">
      <selection activeCell="P1" sqref="P1"/>
    </sheetView>
  </sheetViews>
  <sheetFormatPr defaultColWidth="9.00390625" defaultRowHeight="15"/>
  <cols>
    <col min="1" max="1" width="3.7109375" style="1" customWidth="1"/>
    <col min="2" max="2" width="24.00390625" style="1" customWidth="1"/>
    <col min="3" max="3" width="12.7109375" style="1" customWidth="1"/>
    <col min="4" max="4" width="16.00390625" style="1" customWidth="1"/>
    <col min="5" max="6" width="12.7109375" style="1" customWidth="1"/>
    <col min="7" max="7" width="4.28125" style="1" customWidth="1"/>
    <col min="8" max="8" width="3.7109375" style="1" customWidth="1"/>
    <col min="9" max="9" width="24.00390625" style="1" customWidth="1"/>
    <col min="10" max="10" width="12.7109375" style="1" customWidth="1"/>
    <col min="11" max="11" width="17.28125" style="1" customWidth="1"/>
    <col min="12" max="13" width="12.7109375" style="1" customWidth="1"/>
    <col min="14" max="15" width="4.28125" style="1" customWidth="1"/>
    <col min="16" max="16" width="4.140625" style="1" customWidth="1"/>
    <col min="17" max="17" width="24.140625" style="1" customWidth="1"/>
    <col min="18" max="18" width="12.7109375" style="1" customWidth="1"/>
    <col min="19" max="19" width="14.8515625" style="1" customWidth="1"/>
    <col min="20" max="21" width="12.7109375" style="1" customWidth="1"/>
    <col min="22" max="22" width="3.28125" style="1" customWidth="1"/>
    <col min="23" max="16384" width="9.00390625" style="1" customWidth="1"/>
  </cols>
  <sheetData>
    <row r="1" ht="19.5" customHeight="1"/>
    <row r="2" spans="2:21" ht="19.5" customHeight="1">
      <c r="B2" s="13" t="s">
        <v>48</v>
      </c>
      <c r="C2" s="12"/>
      <c r="D2" s="12"/>
      <c r="E2" s="12"/>
      <c r="F2" s="12"/>
      <c r="I2" s="13" t="s">
        <v>39</v>
      </c>
      <c r="J2" s="12"/>
      <c r="K2" s="12"/>
      <c r="L2" s="12"/>
      <c r="M2" s="12"/>
      <c r="Q2" s="13" t="s">
        <v>50</v>
      </c>
      <c r="R2" s="12"/>
      <c r="S2" s="12"/>
      <c r="T2" s="12"/>
      <c r="U2" s="12"/>
    </row>
    <row r="3" spans="2:21" ht="15" customHeight="1">
      <c r="B3" s="43"/>
      <c r="C3" s="60" t="s">
        <v>46</v>
      </c>
      <c r="D3" s="44"/>
      <c r="E3" s="44"/>
      <c r="F3" s="44"/>
      <c r="I3" s="43"/>
      <c r="J3" s="60" t="s">
        <v>38</v>
      </c>
      <c r="K3" s="44"/>
      <c r="L3" s="44"/>
      <c r="M3" s="44"/>
      <c r="Q3" s="43" t="s">
        <v>89</v>
      </c>
      <c r="R3" s="60"/>
      <c r="S3" s="44"/>
      <c r="T3" s="44"/>
      <c r="U3" s="44"/>
    </row>
    <row r="4" spans="2:21" ht="19.5" customHeight="1">
      <c r="B4" s="13"/>
      <c r="C4" s="12"/>
      <c r="D4" s="12"/>
      <c r="E4" s="12"/>
      <c r="F4" s="66" t="s">
        <v>32</v>
      </c>
      <c r="I4" s="2"/>
      <c r="M4" s="66" t="s">
        <v>32</v>
      </c>
      <c r="Q4" s="2"/>
      <c r="R4" s="12"/>
      <c r="S4" s="12"/>
      <c r="T4" s="12"/>
      <c r="U4" s="45" t="s">
        <v>33</v>
      </c>
    </row>
    <row r="5" spans="2:21" ht="19.5" customHeight="1">
      <c r="B5" s="38" t="s">
        <v>47</v>
      </c>
      <c r="C5" s="15" t="s">
        <v>34</v>
      </c>
      <c r="D5" s="15" t="s">
        <v>35</v>
      </c>
      <c r="E5" s="15" t="s">
        <v>37</v>
      </c>
      <c r="F5" s="15" t="s">
        <v>36</v>
      </c>
      <c r="I5" s="38" t="s">
        <v>31</v>
      </c>
      <c r="J5" s="15" t="s">
        <v>34</v>
      </c>
      <c r="K5" s="15" t="s">
        <v>35</v>
      </c>
      <c r="L5" s="15" t="s">
        <v>37</v>
      </c>
      <c r="M5" s="15" t="s">
        <v>36</v>
      </c>
      <c r="Q5" s="38" t="s">
        <v>88</v>
      </c>
      <c r="R5" s="15" t="s">
        <v>34</v>
      </c>
      <c r="S5" s="15" t="s">
        <v>35</v>
      </c>
      <c r="T5" s="15" t="s">
        <v>37</v>
      </c>
      <c r="U5" s="15" t="s">
        <v>36</v>
      </c>
    </row>
    <row r="6" spans="2:21" ht="19.5" customHeight="1">
      <c r="B6" s="41" t="s">
        <v>28</v>
      </c>
      <c r="C6" s="19">
        <f>SUM(C7:C15)</f>
        <v>755972</v>
      </c>
      <c r="D6" s="46">
        <f>SUM(D7:D15)</f>
        <v>76594</v>
      </c>
      <c r="E6" s="46">
        <f>SUM(E7:E15)</f>
        <v>59364</v>
      </c>
      <c r="F6" s="47">
        <f>SUM(F7:F15)</f>
        <v>620014</v>
      </c>
      <c r="I6" s="41" t="s">
        <v>28</v>
      </c>
      <c r="J6" s="19">
        <f>SUM(J7:J15)</f>
        <v>1081699</v>
      </c>
      <c r="K6" s="46">
        <f>SUM(K7:K15)</f>
        <v>132052</v>
      </c>
      <c r="L6" s="46">
        <f>SUM(L7:L15)</f>
        <v>77912</v>
      </c>
      <c r="M6" s="47">
        <f>SUM(M7:M15)</f>
        <v>871735</v>
      </c>
      <c r="Q6" s="41" t="s">
        <v>28</v>
      </c>
      <c r="R6" s="9">
        <f>C6/J6*100</f>
        <v>69.88746407272264</v>
      </c>
      <c r="S6" s="8">
        <f aca="true" t="shared" si="0" ref="S6:U15">D6/K6*100</f>
        <v>58.00290794535486</v>
      </c>
      <c r="T6" s="8">
        <f t="shared" si="0"/>
        <v>76.19365437929973</v>
      </c>
      <c r="U6" s="3">
        <f t="shared" si="0"/>
        <v>71.12413749591332</v>
      </c>
    </row>
    <row r="7" spans="2:21" ht="19.5" customHeight="1">
      <c r="B7" s="67" t="s">
        <v>21</v>
      </c>
      <c r="C7" s="23">
        <f>SUM(D7:F7)</f>
        <v>571</v>
      </c>
      <c r="D7" s="62">
        <v>292</v>
      </c>
      <c r="E7" s="62">
        <v>4</v>
      </c>
      <c r="F7" s="63">
        <v>275</v>
      </c>
      <c r="I7" s="67" t="s">
        <v>21</v>
      </c>
      <c r="J7" s="23">
        <f>SUM(K7:M7)</f>
        <v>2752</v>
      </c>
      <c r="K7" s="21">
        <v>2058</v>
      </c>
      <c r="L7" s="21">
        <v>10</v>
      </c>
      <c r="M7" s="50">
        <v>684</v>
      </c>
      <c r="Q7" s="67" t="s">
        <v>21</v>
      </c>
      <c r="R7" s="10">
        <f aca="true" t="shared" si="1" ref="R7:R15">C7/J7*100</f>
        <v>20.748546511627907</v>
      </c>
      <c r="S7" s="6">
        <f t="shared" si="0"/>
        <v>14.188532555879494</v>
      </c>
      <c r="T7" s="6">
        <f t="shared" si="0"/>
        <v>40</v>
      </c>
      <c r="U7" s="4">
        <f t="shared" si="0"/>
        <v>40.2046783625731</v>
      </c>
    </row>
    <row r="8" spans="2:21" ht="19.5" customHeight="1">
      <c r="B8" s="67" t="s">
        <v>22</v>
      </c>
      <c r="C8" s="23">
        <f aca="true" t="shared" si="2" ref="C8:C15">SUM(D8:F8)</f>
        <v>12685</v>
      </c>
      <c r="D8" s="62">
        <v>3541</v>
      </c>
      <c r="E8" s="62">
        <v>109</v>
      </c>
      <c r="F8" s="63">
        <v>9035</v>
      </c>
      <c r="I8" s="67" t="s">
        <v>22</v>
      </c>
      <c r="J8" s="23">
        <f aca="true" t="shared" si="3" ref="J8:J15">SUM(K8:M8)</f>
        <v>26807</v>
      </c>
      <c r="K8" s="21">
        <v>10050</v>
      </c>
      <c r="L8" s="21">
        <v>195</v>
      </c>
      <c r="M8" s="50">
        <v>16562</v>
      </c>
      <c r="Q8" s="67" t="s">
        <v>22</v>
      </c>
      <c r="R8" s="10">
        <f t="shared" si="1"/>
        <v>47.319729921289216</v>
      </c>
      <c r="S8" s="6">
        <f t="shared" si="0"/>
        <v>35.233830845771145</v>
      </c>
      <c r="T8" s="6">
        <f t="shared" si="0"/>
        <v>55.8974358974359</v>
      </c>
      <c r="U8" s="4">
        <f t="shared" si="0"/>
        <v>54.55259026687598</v>
      </c>
    </row>
    <row r="9" spans="2:21" ht="19.5" customHeight="1">
      <c r="B9" s="67" t="s">
        <v>23</v>
      </c>
      <c r="C9" s="23">
        <f t="shared" si="2"/>
        <v>50147</v>
      </c>
      <c r="D9" s="62">
        <v>9097</v>
      </c>
      <c r="E9" s="62">
        <v>720</v>
      </c>
      <c r="F9" s="63">
        <v>40330</v>
      </c>
      <c r="I9" s="67" t="s">
        <v>23</v>
      </c>
      <c r="J9" s="23">
        <f t="shared" si="3"/>
        <v>86005</v>
      </c>
      <c r="K9" s="21">
        <v>19130</v>
      </c>
      <c r="L9" s="21">
        <v>1187</v>
      </c>
      <c r="M9" s="50">
        <v>65688</v>
      </c>
      <c r="Q9" s="67" t="s">
        <v>23</v>
      </c>
      <c r="R9" s="10">
        <f t="shared" si="1"/>
        <v>58.30707517004825</v>
      </c>
      <c r="S9" s="6">
        <f t="shared" si="0"/>
        <v>47.553580763199164</v>
      </c>
      <c r="T9" s="6">
        <f t="shared" si="0"/>
        <v>60.65711878685762</v>
      </c>
      <c r="U9" s="4">
        <f t="shared" si="0"/>
        <v>61.39629764949458</v>
      </c>
    </row>
    <row r="10" spans="2:21" ht="19.5" customHeight="1">
      <c r="B10" s="67" t="s">
        <v>24</v>
      </c>
      <c r="C10" s="23">
        <f t="shared" si="2"/>
        <v>105964</v>
      </c>
      <c r="D10" s="62">
        <v>13926</v>
      </c>
      <c r="E10" s="62">
        <v>2889</v>
      </c>
      <c r="F10" s="63">
        <v>89149</v>
      </c>
      <c r="I10" s="67" t="s">
        <v>24</v>
      </c>
      <c r="J10" s="23">
        <f t="shared" si="3"/>
        <v>164598</v>
      </c>
      <c r="K10" s="21">
        <v>24731</v>
      </c>
      <c r="L10" s="21">
        <v>4180</v>
      </c>
      <c r="M10" s="50">
        <v>135687</v>
      </c>
      <c r="Q10" s="67" t="s">
        <v>24</v>
      </c>
      <c r="R10" s="10">
        <f t="shared" si="1"/>
        <v>64.37745294596532</v>
      </c>
      <c r="S10" s="6">
        <f t="shared" si="0"/>
        <v>56.30989446443735</v>
      </c>
      <c r="T10" s="6">
        <f t="shared" si="0"/>
        <v>69.11483253588516</v>
      </c>
      <c r="U10" s="4">
        <f t="shared" si="0"/>
        <v>65.7019463913271</v>
      </c>
    </row>
    <row r="11" spans="2:21" ht="19.5" customHeight="1">
      <c r="B11" s="67" t="s">
        <v>25</v>
      </c>
      <c r="C11" s="23">
        <f t="shared" si="2"/>
        <v>202210</v>
      </c>
      <c r="D11" s="62">
        <v>20304</v>
      </c>
      <c r="E11" s="62">
        <v>9234</v>
      </c>
      <c r="F11" s="63">
        <v>172672</v>
      </c>
      <c r="I11" s="67" t="s">
        <v>25</v>
      </c>
      <c r="J11" s="23">
        <f t="shared" si="3"/>
        <v>288530</v>
      </c>
      <c r="K11" s="21">
        <v>32024</v>
      </c>
      <c r="L11" s="21">
        <v>12468</v>
      </c>
      <c r="M11" s="50">
        <v>244038</v>
      </c>
      <c r="Q11" s="67" t="s">
        <v>25</v>
      </c>
      <c r="R11" s="10">
        <f t="shared" si="1"/>
        <v>70.08283367414133</v>
      </c>
      <c r="S11" s="6">
        <f t="shared" si="0"/>
        <v>63.40244816387709</v>
      </c>
      <c r="T11" s="6">
        <f t="shared" si="0"/>
        <v>74.06159769008663</v>
      </c>
      <c r="U11" s="4">
        <f t="shared" si="0"/>
        <v>70.75619370753735</v>
      </c>
    </row>
    <row r="12" spans="2:21" ht="19.5" customHeight="1">
      <c r="B12" s="67" t="s">
        <v>26</v>
      </c>
      <c r="C12" s="23">
        <f t="shared" si="2"/>
        <v>208191</v>
      </c>
      <c r="D12" s="62">
        <v>16594</v>
      </c>
      <c r="E12" s="62">
        <v>16971</v>
      </c>
      <c r="F12" s="63">
        <v>174626</v>
      </c>
      <c r="I12" s="67" t="s">
        <v>26</v>
      </c>
      <c r="J12" s="23">
        <f t="shared" si="3"/>
        <v>282637</v>
      </c>
      <c r="K12" s="21">
        <v>25051</v>
      </c>
      <c r="L12" s="21">
        <v>22235</v>
      </c>
      <c r="M12" s="50">
        <v>235351</v>
      </c>
      <c r="Q12" s="67" t="s">
        <v>26</v>
      </c>
      <c r="R12" s="10">
        <f t="shared" si="1"/>
        <v>73.6602072623188</v>
      </c>
      <c r="S12" s="6">
        <f t="shared" si="0"/>
        <v>66.24086862799888</v>
      </c>
      <c r="T12" s="6">
        <f t="shared" si="0"/>
        <v>76.32561277265573</v>
      </c>
      <c r="U12" s="4">
        <f t="shared" si="0"/>
        <v>74.19811260627743</v>
      </c>
    </row>
    <row r="13" spans="2:21" ht="19.5" customHeight="1">
      <c r="B13" s="67" t="s">
        <v>27</v>
      </c>
      <c r="C13" s="23">
        <f t="shared" si="2"/>
        <v>121814</v>
      </c>
      <c r="D13" s="62">
        <v>8629</v>
      </c>
      <c r="E13" s="62">
        <v>17150</v>
      </c>
      <c r="F13" s="63">
        <v>96035</v>
      </c>
      <c r="I13" s="67" t="s">
        <v>27</v>
      </c>
      <c r="J13" s="23">
        <f t="shared" si="3"/>
        <v>161560</v>
      </c>
      <c r="K13" s="21">
        <v>12914</v>
      </c>
      <c r="L13" s="21">
        <v>22409</v>
      </c>
      <c r="M13" s="50">
        <v>126237</v>
      </c>
      <c r="Q13" s="67" t="s">
        <v>27</v>
      </c>
      <c r="R13" s="10">
        <f t="shared" si="1"/>
        <v>75.39861351819758</v>
      </c>
      <c r="S13" s="6">
        <f t="shared" si="0"/>
        <v>66.81895617159672</v>
      </c>
      <c r="T13" s="6">
        <f t="shared" si="0"/>
        <v>76.53175063590521</v>
      </c>
      <c r="U13" s="4">
        <f t="shared" si="0"/>
        <v>76.07516021451714</v>
      </c>
    </row>
    <row r="14" spans="2:21" ht="19.5" customHeight="1">
      <c r="B14" s="67" t="s">
        <v>29</v>
      </c>
      <c r="C14" s="23">
        <f t="shared" si="2"/>
        <v>41005</v>
      </c>
      <c r="D14" s="62">
        <v>3135</v>
      </c>
      <c r="E14" s="62">
        <v>8570</v>
      </c>
      <c r="F14" s="63">
        <v>29300</v>
      </c>
      <c r="I14" s="67" t="s">
        <v>29</v>
      </c>
      <c r="J14" s="23">
        <f t="shared" si="3"/>
        <v>52731</v>
      </c>
      <c r="K14" s="21">
        <v>4534</v>
      </c>
      <c r="L14" s="21">
        <v>10845</v>
      </c>
      <c r="M14" s="50">
        <v>37352</v>
      </c>
      <c r="Q14" s="67" t="s">
        <v>29</v>
      </c>
      <c r="R14" s="10">
        <f t="shared" si="1"/>
        <v>77.76260643644156</v>
      </c>
      <c r="S14" s="6">
        <f t="shared" si="0"/>
        <v>69.14424349360388</v>
      </c>
      <c r="T14" s="6">
        <f t="shared" si="0"/>
        <v>79.02259105578608</v>
      </c>
      <c r="U14" s="4">
        <f t="shared" si="0"/>
        <v>78.44292139644463</v>
      </c>
    </row>
    <row r="15" spans="2:21" ht="19.5" customHeight="1">
      <c r="B15" s="68" t="s">
        <v>49</v>
      </c>
      <c r="C15" s="25">
        <f t="shared" si="2"/>
        <v>13385</v>
      </c>
      <c r="D15" s="64">
        <v>1076</v>
      </c>
      <c r="E15" s="64">
        <v>3717</v>
      </c>
      <c r="F15" s="65">
        <v>8592</v>
      </c>
      <c r="I15" s="68" t="s">
        <v>49</v>
      </c>
      <c r="J15" s="25">
        <f t="shared" si="3"/>
        <v>16079</v>
      </c>
      <c r="K15" s="53">
        <v>1560</v>
      </c>
      <c r="L15" s="53">
        <v>4383</v>
      </c>
      <c r="M15" s="54">
        <v>10136</v>
      </c>
      <c r="Q15" s="68" t="s">
        <v>49</v>
      </c>
      <c r="R15" s="11">
        <f t="shared" si="1"/>
        <v>83.24522669320231</v>
      </c>
      <c r="S15" s="7">
        <f t="shared" si="0"/>
        <v>68.97435897435898</v>
      </c>
      <c r="T15" s="7">
        <f t="shared" si="0"/>
        <v>84.80492813141683</v>
      </c>
      <c r="U15" s="5">
        <f t="shared" si="0"/>
        <v>84.76716653512234</v>
      </c>
    </row>
    <row r="16" spans="2:6" ht="6.75" customHeight="1">
      <c r="B16" s="12"/>
      <c r="C16" s="12"/>
      <c r="D16" s="12"/>
      <c r="E16" s="12"/>
      <c r="F16" s="12"/>
    </row>
    <row r="17" spans="2:17" ht="18.75" customHeight="1">
      <c r="B17" s="27" t="s">
        <v>9</v>
      </c>
      <c r="C17" s="12"/>
      <c r="D17" s="12"/>
      <c r="E17" s="12"/>
      <c r="F17" s="12"/>
      <c r="I17" s="27" t="s">
        <v>9</v>
      </c>
      <c r="Q17" s="27" t="s">
        <v>9</v>
      </c>
    </row>
    <row r="18" ht="15.75" customHeight="1">
      <c r="Q18" s="69" t="s">
        <v>94</v>
      </c>
    </row>
    <row r="19" ht="19.5" customHeight="1"/>
    <row r="20" ht="19.5" customHeight="1"/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1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.421875" style="12" customWidth="1"/>
    <col min="2" max="2" width="35.140625" style="12" customWidth="1"/>
    <col min="3" max="3" width="18.00390625" style="12" customWidth="1"/>
    <col min="4" max="4" width="12.7109375" style="12" customWidth="1"/>
    <col min="5" max="5" width="3.7109375" style="12" customWidth="1"/>
    <col min="6" max="6" width="8.8515625" style="12" customWidth="1"/>
    <col min="7" max="7" width="4.421875" style="12" customWidth="1"/>
    <col min="8" max="8" width="35.140625" style="12" customWidth="1"/>
    <col min="9" max="9" width="18.00390625" style="12" customWidth="1"/>
    <col min="10" max="10" width="12.7109375" style="12" customWidth="1"/>
    <col min="11" max="11" width="3.7109375" style="12" customWidth="1"/>
    <col min="12" max="16384" width="8.8515625" style="12" customWidth="1"/>
  </cols>
  <sheetData>
    <row r="1" ht="19.5" customHeight="1"/>
    <row r="2" spans="2:8" ht="19.5" customHeight="1">
      <c r="B2" s="13" t="s">
        <v>67</v>
      </c>
      <c r="H2" s="13" t="s">
        <v>77</v>
      </c>
    </row>
    <row r="3" spans="2:8" ht="19.5" customHeight="1">
      <c r="B3" s="13" t="s">
        <v>76</v>
      </c>
      <c r="H3" s="13" t="s">
        <v>76</v>
      </c>
    </row>
    <row r="4" spans="2:8" s="44" customFormat="1" ht="19.5" customHeight="1">
      <c r="B4" s="43" t="s">
        <v>78</v>
      </c>
      <c r="H4" s="43" t="s">
        <v>78</v>
      </c>
    </row>
    <row r="5" spans="2:8" ht="19.5" customHeight="1">
      <c r="B5" s="13"/>
      <c r="H5" s="13"/>
    </row>
    <row r="6" spans="2:10" ht="37.5" customHeight="1">
      <c r="B6" s="59" t="s">
        <v>75</v>
      </c>
      <c r="C6" s="15" t="s">
        <v>11</v>
      </c>
      <c r="D6" s="15" t="s">
        <v>10</v>
      </c>
      <c r="H6" s="59" t="s">
        <v>75</v>
      </c>
      <c r="I6" s="15" t="s">
        <v>11</v>
      </c>
      <c r="J6" s="15" t="s">
        <v>10</v>
      </c>
    </row>
    <row r="7" spans="2:10" ht="19.5" customHeight="1">
      <c r="B7" s="29" t="s">
        <v>68</v>
      </c>
      <c r="C7" s="21">
        <v>57122871</v>
      </c>
      <c r="D7" s="24">
        <v>100</v>
      </c>
      <c r="H7" s="29" t="s">
        <v>68</v>
      </c>
      <c r="I7" s="21">
        <v>1081699</v>
      </c>
      <c r="J7" s="24">
        <v>100</v>
      </c>
    </row>
    <row r="8" spans="2:10" ht="19.5" customHeight="1">
      <c r="B8" s="29" t="s">
        <v>69</v>
      </c>
      <c r="C8" s="21">
        <v>26874210</v>
      </c>
      <c r="D8" s="24">
        <v>47.04632230407327</v>
      </c>
      <c r="H8" s="29" t="s">
        <v>69</v>
      </c>
      <c r="I8" s="21">
        <v>931838</v>
      </c>
      <c r="J8" s="24">
        <v>86.14577622795251</v>
      </c>
    </row>
    <row r="9" spans="2:10" ht="19.5" customHeight="1">
      <c r="B9" s="29" t="s">
        <v>71</v>
      </c>
      <c r="C9" s="21">
        <v>25521682</v>
      </c>
      <c r="D9" s="24">
        <v>44.67857016500449</v>
      </c>
      <c r="H9" s="29" t="s">
        <v>71</v>
      </c>
      <c r="I9" s="21">
        <v>847843</v>
      </c>
      <c r="J9" s="24">
        <v>78.38067706450686</v>
      </c>
    </row>
    <row r="10" spans="2:10" ht="19.5" customHeight="1">
      <c r="B10" s="29" t="s">
        <v>81</v>
      </c>
      <c r="C10" s="21">
        <v>20761317</v>
      </c>
      <c r="D10" s="24">
        <v>36.34501669217571</v>
      </c>
      <c r="H10" s="29" t="s">
        <v>81</v>
      </c>
      <c r="I10" s="21">
        <v>800293</v>
      </c>
      <c r="J10" s="24">
        <v>73.9848146295781</v>
      </c>
    </row>
    <row r="11" spans="2:10" ht="19.5" customHeight="1">
      <c r="B11" s="29" t="s">
        <v>72</v>
      </c>
      <c r="C11" s="21">
        <v>9433752</v>
      </c>
      <c r="D11" s="24">
        <v>16.51484218991724</v>
      </c>
      <c r="H11" s="29" t="s">
        <v>72</v>
      </c>
      <c r="I11" s="21">
        <v>354157</v>
      </c>
      <c r="J11" s="24">
        <v>32.74080867228314</v>
      </c>
    </row>
    <row r="12" spans="2:10" ht="19.5" customHeight="1">
      <c r="B12" s="29" t="s">
        <v>73</v>
      </c>
      <c r="C12" s="21">
        <v>891120</v>
      </c>
      <c r="D12" s="24">
        <v>1.5600056236669197</v>
      </c>
      <c r="H12" s="29" t="s">
        <v>73</v>
      </c>
      <c r="I12" s="21">
        <v>39369</v>
      </c>
      <c r="J12" s="24">
        <v>3.6395522229381743</v>
      </c>
    </row>
    <row r="13" spans="2:10" ht="19.5" customHeight="1">
      <c r="B13" s="29" t="s">
        <v>74</v>
      </c>
      <c r="C13" s="21">
        <v>10436445</v>
      </c>
      <c r="D13" s="24">
        <v>18.27016887859155</v>
      </c>
      <c r="H13" s="29" t="s">
        <v>74</v>
      </c>
      <c r="I13" s="21">
        <v>395975</v>
      </c>
      <c r="J13" s="24">
        <v>36.606763988873055</v>
      </c>
    </row>
    <row r="14" spans="2:10" ht="19.5" customHeight="1">
      <c r="B14" s="97" t="s">
        <v>79</v>
      </c>
      <c r="C14" s="62">
        <v>1352528</v>
      </c>
      <c r="D14" s="82">
        <v>2.3677521390687803</v>
      </c>
      <c r="H14" s="97" t="s">
        <v>79</v>
      </c>
      <c r="I14" s="62">
        <v>83995</v>
      </c>
      <c r="J14" s="82">
        <v>7.765099163445653</v>
      </c>
    </row>
    <row r="15" spans="2:10" ht="19.5" customHeight="1">
      <c r="B15" s="97" t="s">
        <v>80</v>
      </c>
      <c r="C15" s="98" t="s">
        <v>7</v>
      </c>
      <c r="D15" s="82">
        <f>C14/C8*100</f>
        <v>5.032810266794819</v>
      </c>
      <c r="H15" s="97" t="s">
        <v>80</v>
      </c>
      <c r="I15" s="98" t="s">
        <v>7</v>
      </c>
      <c r="J15" s="82">
        <f>I14/I8*100</f>
        <v>9.013905850587763</v>
      </c>
    </row>
    <row r="16" spans="2:10" ht="19.5" customHeight="1">
      <c r="B16" s="30" t="s">
        <v>70</v>
      </c>
      <c r="C16" s="64">
        <v>27286707</v>
      </c>
      <c r="D16" s="83">
        <v>47.7684446217698</v>
      </c>
      <c r="H16" s="30" t="s">
        <v>70</v>
      </c>
      <c r="I16" s="64">
        <v>109419</v>
      </c>
      <c r="J16" s="83">
        <v>10.115475746949937</v>
      </c>
    </row>
    <row r="17" spans="2:10" ht="3" customHeight="1">
      <c r="B17" s="33"/>
      <c r="C17" s="33"/>
      <c r="D17" s="33"/>
      <c r="H17" s="33"/>
      <c r="I17" s="33"/>
      <c r="J17" s="33"/>
    </row>
    <row r="18" spans="2:8" ht="19.5" customHeight="1">
      <c r="B18" s="27" t="s">
        <v>9</v>
      </c>
      <c r="H18" s="27" t="s">
        <v>9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</sheetData>
  <sheetProtection/>
  <printOptions/>
  <pageMargins left="0.7" right="0.7" top="0.75" bottom="0.75" header="0.3" footer="0.3"/>
  <pageSetup horizontalDpi="300" verticalDpi="300" orientation="landscape" paperSize="9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総務省統計研修所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2013-10-28T06:52:46Z</cp:lastPrinted>
  <dcterms:created xsi:type="dcterms:W3CDTF">2012-05-30T09:43:22Z</dcterms:created>
  <dcterms:modified xsi:type="dcterms:W3CDTF">2013-11-06T04:32:01Z</dcterms:modified>
  <cp:category/>
  <cp:version/>
  <cp:contentType/>
  <cp:contentStatus/>
</cp:coreProperties>
</file>